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95" windowWidth="15120" windowHeight="7350" firstSheet="8" activeTab="11"/>
  </bookViews>
  <sheets>
    <sheet name="INICIO " sheetId="1" r:id="rId1"/>
    <sheet name="PLAN DE INVERSION" sheetId="2" r:id="rId2"/>
    <sheet name="GASTOS PREVIOS A LA PRODUCCION" sheetId="3" r:id="rId3"/>
    <sheet name="GASTOS DE PERSONAL" sheetId="20" r:id="rId4"/>
    <sheet name="DEPRECIACION" sheetId="4" r:id="rId5"/>
    <sheet name="COS PRODU Y GASTOS ADMON" sheetId="7" r:id="rId6"/>
    <sheet name="CAPITAL DE TRABAJO " sheetId="6" r:id="rId7"/>
    <sheet name="COSTO POR UNIDAD DE VENTA " sheetId="16" r:id="rId8"/>
    <sheet name="PTO EQU PREC VTA" sheetId="23" r:id="rId9"/>
    <sheet name="PROYECCION" sheetId="19" r:id="rId10"/>
    <sheet name="ESTADO DE RESULTADOS" sheetId="24" r:id="rId11"/>
    <sheet name="BALANCE GENRAL" sheetId="25" r:id="rId12"/>
  </sheets>
  <definedNames>
    <definedName name="TABLA1">'GASTOS PREVIOS A LA PRODUCCION'!$A$2:$B$16</definedName>
  </definedNames>
  <calcPr calcId="144525"/>
</workbook>
</file>

<file path=xl/calcChain.xml><?xml version="1.0" encoding="utf-8"?>
<calcChain xmlns="http://schemas.openxmlformats.org/spreadsheetml/2006/main">
  <c r="B22" i="2" l="1"/>
  <c r="B13" i="2"/>
  <c r="C12" i="25"/>
  <c r="D12" i="25"/>
  <c r="E12" i="25"/>
  <c r="B12" i="25"/>
  <c r="C10" i="25"/>
  <c r="D10" i="25"/>
  <c r="E10" i="25"/>
  <c r="B10" i="25"/>
  <c r="G19" i="24" l="1"/>
  <c r="E15" i="23"/>
  <c r="J18" i="19"/>
  <c r="I18" i="19"/>
  <c r="G18" i="19"/>
  <c r="E18" i="19"/>
  <c r="C18" i="19"/>
  <c r="C19" i="6"/>
  <c r="C6" i="23" l="1"/>
  <c r="F15" i="23" l="1"/>
  <c r="G53" i="16"/>
  <c r="G62" i="16"/>
  <c r="J6" i="19" l="1"/>
  <c r="J7" i="19"/>
  <c r="J8" i="19"/>
  <c r="J9" i="19"/>
  <c r="J10" i="19"/>
  <c r="J11" i="19"/>
  <c r="J12" i="19"/>
  <c r="J13" i="19"/>
  <c r="J14" i="19"/>
  <c r="J15" i="19"/>
  <c r="J16" i="19"/>
  <c r="J5" i="19"/>
  <c r="J17" i="19" s="1"/>
  <c r="F68" i="16"/>
  <c r="F37" i="16"/>
  <c r="F30" i="16"/>
  <c r="F15" i="16"/>
  <c r="H62" i="16"/>
  <c r="H68" i="16" l="1"/>
  <c r="G68" i="16"/>
  <c r="E17" i="19"/>
  <c r="G17" i="19"/>
  <c r="I17" i="19"/>
  <c r="C17" i="19"/>
  <c r="B40" i="19"/>
  <c r="B41" i="19" s="1"/>
  <c r="B38" i="19"/>
  <c r="B39" i="19" s="1"/>
  <c r="F43" i="16"/>
  <c r="F44" i="16"/>
  <c r="F45" i="16"/>
  <c r="F46" i="16"/>
  <c r="F47" i="16"/>
  <c r="F48" i="16"/>
  <c r="F49" i="16"/>
  <c r="F50" i="16"/>
  <c r="F51" i="16"/>
  <c r="F52" i="16"/>
  <c r="F54" i="16"/>
  <c r="F55" i="16"/>
  <c r="F56" i="16"/>
  <c r="F57" i="16"/>
  <c r="F58" i="16"/>
  <c r="F59" i="16"/>
  <c r="F60" i="16"/>
  <c r="F61" i="16"/>
  <c r="F63" i="16"/>
  <c r="F64" i="16"/>
  <c r="F65" i="16"/>
  <c r="F66" i="16"/>
  <c r="F67" i="16"/>
  <c r="F69" i="16"/>
  <c r="F70" i="16"/>
  <c r="F71" i="16"/>
  <c r="F72" i="16"/>
  <c r="F73" i="16"/>
  <c r="F74" i="16"/>
  <c r="F75" i="16"/>
  <c r="F42" i="16"/>
  <c r="E13" i="4"/>
  <c r="H74" i="16" l="1"/>
  <c r="G74" i="16"/>
  <c r="H70" i="16"/>
  <c r="G70" i="16"/>
  <c r="H65" i="16"/>
  <c r="G65" i="16"/>
  <c r="H56" i="16"/>
  <c r="G56" i="16"/>
  <c r="H51" i="16"/>
  <c r="G51" i="16"/>
  <c r="H47" i="16"/>
  <c r="G47" i="16"/>
  <c r="H75" i="16"/>
  <c r="G75" i="16"/>
  <c r="H73" i="16"/>
  <c r="G73" i="16"/>
  <c r="H71" i="16"/>
  <c r="G71" i="16"/>
  <c r="H69" i="16"/>
  <c r="G69" i="16"/>
  <c r="H66" i="16"/>
  <c r="G66" i="16"/>
  <c r="H64" i="16"/>
  <c r="G64" i="16"/>
  <c r="H61" i="16"/>
  <c r="G61" i="16"/>
  <c r="H59" i="16"/>
  <c r="G59" i="16"/>
  <c r="H57" i="16"/>
  <c r="G57" i="16"/>
  <c r="H52" i="16"/>
  <c r="G52" i="16"/>
  <c r="H50" i="16"/>
  <c r="G50" i="16"/>
  <c r="H48" i="16"/>
  <c r="G48" i="16"/>
  <c r="H46" i="16"/>
  <c r="G46" i="16"/>
  <c r="H44" i="16"/>
  <c r="G44" i="16"/>
  <c r="H42" i="16"/>
  <c r="G42" i="16"/>
  <c r="H72" i="16"/>
  <c r="G72" i="16"/>
  <c r="H67" i="16"/>
  <c r="G67" i="16"/>
  <c r="H63" i="16"/>
  <c r="G63" i="16"/>
  <c r="H58" i="16"/>
  <c r="G58" i="16"/>
  <c r="H49" i="16"/>
  <c r="G49" i="16"/>
  <c r="H43" i="16"/>
  <c r="G43" i="16"/>
  <c r="G60" i="16"/>
  <c r="H60" i="16" s="1"/>
  <c r="G55" i="16"/>
  <c r="H55" i="16" s="1"/>
  <c r="G54" i="16"/>
  <c r="H54" i="16" s="1"/>
  <c r="G45" i="16"/>
  <c r="H45" i="16" s="1"/>
  <c r="F8" i="16"/>
  <c r="I8" i="16" s="1"/>
  <c r="J8" i="16" s="1"/>
  <c r="F20" i="16"/>
  <c r="I20" i="16" s="1"/>
  <c r="J20" i="16" s="1"/>
  <c r="E38" i="16"/>
  <c r="C38" i="16"/>
  <c r="B38" i="16"/>
  <c r="G37" i="16"/>
  <c r="I30" i="16"/>
  <c r="J30" i="16" s="1"/>
  <c r="F24" i="16"/>
  <c r="J24" i="16" s="1"/>
  <c r="F5" i="16"/>
  <c r="G5" i="16" s="1"/>
  <c r="F6" i="16"/>
  <c r="I6" i="16" s="1"/>
  <c r="J6" i="16" s="1"/>
  <c r="F7" i="16"/>
  <c r="G7" i="16" s="1"/>
  <c r="H7" i="16" s="1"/>
  <c r="F9" i="16"/>
  <c r="I9" i="16" s="1"/>
  <c r="J9" i="16" s="1"/>
  <c r="F10" i="16"/>
  <c r="G10" i="16" s="1"/>
  <c r="F11" i="16"/>
  <c r="I11" i="16" s="1"/>
  <c r="F12" i="16"/>
  <c r="G12" i="16" s="1"/>
  <c r="H12" i="16" s="1"/>
  <c r="F13" i="16"/>
  <c r="I13" i="16" s="1"/>
  <c r="J13" i="16" s="1"/>
  <c r="F14" i="16"/>
  <c r="G14" i="16" s="1"/>
  <c r="I15" i="16"/>
  <c r="F16" i="16"/>
  <c r="G16" i="16" s="1"/>
  <c r="F17" i="16"/>
  <c r="I17" i="16" s="1"/>
  <c r="J17" i="16" s="1"/>
  <c r="F18" i="16"/>
  <c r="G18" i="16" s="1"/>
  <c r="H18" i="16" s="1"/>
  <c r="F19" i="16"/>
  <c r="I19" i="16" s="1"/>
  <c r="J19" i="16" s="1"/>
  <c r="F21" i="16"/>
  <c r="G21" i="16" s="1"/>
  <c r="H21" i="16" s="1"/>
  <c r="F4" i="16"/>
  <c r="G4" i="16" s="1"/>
  <c r="H76" i="16" l="1"/>
  <c r="H77" i="16" s="1"/>
  <c r="H20" i="16"/>
  <c r="H8" i="16"/>
  <c r="H53" i="16"/>
  <c r="G8" i="16"/>
  <c r="G20" i="16"/>
  <c r="I5" i="16"/>
  <c r="J5" i="16" s="1"/>
  <c r="I16" i="16"/>
  <c r="J16" i="16" s="1"/>
  <c r="I12" i="16"/>
  <c r="I7" i="16"/>
  <c r="J7" i="16" s="1"/>
  <c r="I18" i="16"/>
  <c r="J18" i="16" s="1"/>
  <c r="I14" i="16"/>
  <c r="I10" i="16"/>
  <c r="G19" i="16"/>
  <c r="H19" i="16" s="1"/>
  <c r="G17" i="16"/>
  <c r="H17" i="16" s="1"/>
  <c r="G15" i="16"/>
  <c r="G13" i="16"/>
  <c r="H13" i="16" s="1"/>
  <c r="G11" i="16"/>
  <c r="G9" i="16"/>
  <c r="H9" i="16" s="1"/>
  <c r="G6" i="16"/>
  <c r="H6" i="16" s="1"/>
  <c r="I4" i="16"/>
  <c r="J4" i="16" s="1"/>
  <c r="G24" i="16"/>
  <c r="F22" i="16"/>
  <c r="G22" i="16" s="1"/>
  <c r="F23" i="16"/>
  <c r="F25" i="16"/>
  <c r="G25" i="16" s="1"/>
  <c r="H25" i="16" s="1"/>
  <c r="I25" i="16" s="1"/>
  <c r="J25" i="16" s="1"/>
  <c r="F26" i="16"/>
  <c r="H26" i="16" s="1"/>
  <c r="F27" i="16"/>
  <c r="G27" i="16" s="1"/>
  <c r="F28" i="16"/>
  <c r="J28" i="16" s="1"/>
  <c r="F29" i="16"/>
  <c r="G29" i="16" s="1"/>
  <c r="H29" i="16" s="1"/>
  <c r="I29" i="16" s="1"/>
  <c r="J29" i="16" s="1"/>
  <c r="F31" i="16"/>
  <c r="G31" i="16" s="1"/>
  <c r="H31" i="16" s="1"/>
  <c r="I31" i="16" s="1"/>
  <c r="J31" i="16" s="1"/>
  <c r="F32" i="16"/>
  <c r="G32" i="16" s="1"/>
  <c r="H32" i="16" s="1"/>
  <c r="I32" i="16" s="1"/>
  <c r="J32" i="16" s="1"/>
  <c r="F33" i="16"/>
  <c r="G33" i="16" s="1"/>
  <c r="H33" i="16" s="1"/>
  <c r="I33" i="16" s="1"/>
  <c r="J33" i="16" s="1"/>
  <c r="F34" i="16"/>
  <c r="G34" i="16" s="1"/>
  <c r="H34" i="16" s="1"/>
  <c r="I34" i="16" s="1"/>
  <c r="J34" i="16" s="1"/>
  <c r="F35" i="16"/>
  <c r="G35" i="16" s="1"/>
  <c r="H35" i="16" s="1"/>
  <c r="I35" i="16" s="1"/>
  <c r="J35" i="16" s="1"/>
  <c r="F36" i="16"/>
  <c r="G36" i="16" s="1"/>
  <c r="H36" i="16" s="1"/>
  <c r="I36" i="16" s="1"/>
  <c r="J36" i="16" s="1"/>
  <c r="J38" i="16" l="1"/>
  <c r="G38" i="16"/>
  <c r="I38" i="16"/>
  <c r="F38" i="16"/>
  <c r="K38" i="16" s="1"/>
  <c r="H23" i="16"/>
  <c r="H38" i="16" s="1"/>
  <c r="H12" i="20"/>
  <c r="E5" i="20"/>
  <c r="F5" i="20"/>
  <c r="G5" i="20"/>
  <c r="I5" i="20" s="1"/>
  <c r="J5" i="20"/>
  <c r="K5" i="20"/>
  <c r="L5" i="20"/>
  <c r="L4" i="20"/>
  <c r="K4" i="20"/>
  <c r="J4" i="20"/>
  <c r="G4" i="20"/>
  <c r="I4" i="20" s="1"/>
  <c r="F4" i="20"/>
  <c r="E4" i="20"/>
  <c r="J7" i="20"/>
  <c r="J8" i="20"/>
  <c r="J9" i="20"/>
  <c r="J10" i="20"/>
  <c r="J11" i="20"/>
  <c r="J6" i="20"/>
  <c r="K7" i="20"/>
  <c r="K8" i="20"/>
  <c r="K9" i="20"/>
  <c r="K10" i="20"/>
  <c r="K11" i="20"/>
  <c r="K6" i="20"/>
  <c r="F7" i="20"/>
  <c r="F8" i="20"/>
  <c r="F9" i="20"/>
  <c r="F10" i="20"/>
  <c r="F11" i="20"/>
  <c r="F6" i="20"/>
  <c r="G7" i="20"/>
  <c r="I7" i="20" s="1"/>
  <c r="G8" i="20"/>
  <c r="I8" i="20" s="1"/>
  <c r="G9" i="20"/>
  <c r="I9" i="20" s="1"/>
  <c r="G10" i="20"/>
  <c r="I10" i="20" s="1"/>
  <c r="G11" i="20"/>
  <c r="I11" i="20" s="1"/>
  <c r="G6" i="20"/>
  <c r="I6" i="20" s="1"/>
  <c r="L7" i="20"/>
  <c r="L8" i="20"/>
  <c r="L9" i="20"/>
  <c r="L10" i="20"/>
  <c r="L11" i="20"/>
  <c r="L6" i="20"/>
  <c r="E7" i="20"/>
  <c r="E8" i="20"/>
  <c r="E9" i="20"/>
  <c r="E10" i="20"/>
  <c r="E11" i="20"/>
  <c r="E6" i="20"/>
  <c r="B12" i="20"/>
  <c r="D21" i="6"/>
  <c r="C15" i="6"/>
  <c r="C18" i="6"/>
  <c r="B6" i="25" s="1"/>
  <c r="C6" i="25" s="1"/>
  <c r="D6" i="25" s="1"/>
  <c r="E6" i="25" s="1"/>
  <c r="E3" i="7"/>
  <c r="E4" i="7"/>
  <c r="E5" i="7"/>
  <c r="E6" i="7"/>
  <c r="E7" i="7"/>
  <c r="B9" i="7"/>
  <c r="E9" i="7" s="1"/>
  <c r="B5" i="19" l="1"/>
  <c r="G39" i="16"/>
  <c r="D5" i="19"/>
  <c r="H39" i="16"/>
  <c r="F5" i="19"/>
  <c r="I39" i="16"/>
  <c r="H5" i="19"/>
  <c r="J39" i="16"/>
  <c r="E15" i="6"/>
  <c r="B5" i="25"/>
  <c r="C5" i="25" s="1"/>
  <c r="D5" i="25" s="1"/>
  <c r="E5" i="25" s="1"/>
  <c r="E10" i="7"/>
  <c r="B44" i="7" s="1"/>
  <c r="C44" i="7" s="1"/>
  <c r="D44" i="7" s="1"/>
  <c r="E44" i="7" s="1"/>
  <c r="K5" i="19"/>
  <c r="D15" i="19"/>
  <c r="D13" i="19"/>
  <c r="D11" i="19"/>
  <c r="D9" i="19"/>
  <c r="D7" i="19"/>
  <c r="D16" i="19"/>
  <c r="D14" i="19"/>
  <c r="D12" i="19"/>
  <c r="D10" i="19"/>
  <c r="D8" i="19"/>
  <c r="D6" i="19"/>
  <c r="H16" i="19"/>
  <c r="H14" i="19"/>
  <c r="H12" i="19"/>
  <c r="H10" i="19"/>
  <c r="H8" i="19"/>
  <c r="H6" i="19"/>
  <c r="H15" i="19"/>
  <c r="H13" i="19"/>
  <c r="H11" i="19"/>
  <c r="H9" i="19"/>
  <c r="H7" i="19"/>
  <c r="B16" i="19"/>
  <c r="B14" i="19"/>
  <c r="B10" i="19"/>
  <c r="B6" i="19"/>
  <c r="B15" i="19"/>
  <c r="B13" i="19"/>
  <c r="B11" i="19"/>
  <c r="B9" i="19"/>
  <c r="B7" i="19"/>
  <c r="B12" i="19"/>
  <c r="B8" i="19"/>
  <c r="F15" i="19"/>
  <c r="F13" i="19"/>
  <c r="F11" i="19"/>
  <c r="F9" i="19"/>
  <c r="F7" i="19"/>
  <c r="F16" i="19"/>
  <c r="F14" i="19"/>
  <c r="F12" i="19"/>
  <c r="F10" i="19"/>
  <c r="F8" i="19"/>
  <c r="F6" i="19"/>
  <c r="M5" i="20"/>
  <c r="M4" i="20"/>
  <c r="F12" i="20"/>
  <c r="M11" i="20"/>
  <c r="M9" i="20"/>
  <c r="M6" i="20"/>
  <c r="M10" i="20"/>
  <c r="M8" i="20"/>
  <c r="J12" i="20"/>
  <c r="M7" i="20"/>
  <c r="I12" i="20"/>
  <c r="E12" i="20"/>
  <c r="G12" i="20"/>
  <c r="L12" i="20"/>
  <c r="K12" i="20"/>
  <c r="D12" i="20"/>
  <c r="C12" i="20"/>
  <c r="E18" i="6"/>
  <c r="C15" i="23" l="1"/>
  <c r="E6" i="23"/>
  <c r="G13" i="23"/>
  <c r="F4" i="23"/>
  <c r="F5" i="23"/>
  <c r="B6" i="23"/>
  <c r="F2" i="23"/>
  <c r="G12" i="23"/>
  <c r="F3" i="23"/>
  <c r="H17" i="19"/>
  <c r="F17" i="19"/>
  <c r="D17" i="19"/>
  <c r="K8" i="19"/>
  <c r="B17" i="19"/>
  <c r="K9" i="19"/>
  <c r="K13" i="19"/>
  <c r="K6" i="19"/>
  <c r="K14" i="19"/>
  <c r="K12" i="19"/>
  <c r="K7" i="19"/>
  <c r="K11" i="19"/>
  <c r="K15" i="19"/>
  <c r="K10" i="19"/>
  <c r="K16" i="19"/>
  <c r="P7" i="20"/>
  <c r="M12" i="20"/>
  <c r="F6" i="23" l="1"/>
  <c r="G11" i="23"/>
  <c r="B15" i="23"/>
  <c r="G14" i="23"/>
  <c r="K17" i="19"/>
  <c r="P5" i="20"/>
  <c r="P6" i="20"/>
  <c r="P4" i="20"/>
  <c r="G15" i="23" l="1"/>
  <c r="D15" i="23"/>
  <c r="B2" i="24"/>
  <c r="B4" i="24" s="1"/>
  <c r="M5" i="19"/>
  <c r="P8" i="20"/>
  <c r="M13" i="20" s="1"/>
  <c r="E24" i="7"/>
  <c r="C2" i="24" l="1"/>
  <c r="C4" i="24" s="1"/>
  <c r="N5" i="19"/>
  <c r="E16" i="6"/>
  <c r="C16" i="6" s="1"/>
  <c r="B4" i="25" s="1"/>
  <c r="E31" i="7"/>
  <c r="E4" i="6"/>
  <c r="B7" i="3"/>
  <c r="E38" i="7"/>
  <c r="E34" i="7"/>
  <c r="B15" i="25" s="1"/>
  <c r="E35" i="7"/>
  <c r="E36" i="7"/>
  <c r="E37" i="7"/>
  <c r="E30" i="7"/>
  <c r="E16" i="7"/>
  <c r="D2" i="24" l="1"/>
  <c r="D4" i="24" s="1"/>
  <c r="O5" i="19"/>
  <c r="E2" i="24" s="1"/>
  <c r="E4" i="24" s="1"/>
  <c r="B19" i="25"/>
  <c r="B28" i="25" s="1"/>
  <c r="C15" i="25"/>
  <c r="C4" i="25"/>
  <c r="B7" i="25"/>
  <c r="E39" i="7"/>
  <c r="B46" i="7" s="1"/>
  <c r="C17" i="6"/>
  <c r="E4" i="4"/>
  <c r="E5" i="4"/>
  <c r="E6" i="4"/>
  <c r="E7" i="4"/>
  <c r="E8" i="4"/>
  <c r="E9" i="4"/>
  <c r="E10" i="4"/>
  <c r="E11" i="4"/>
  <c r="E12" i="4"/>
  <c r="E14" i="4"/>
  <c r="C19" i="25" l="1"/>
  <c r="C28" i="25" s="1"/>
  <c r="D15" i="25"/>
  <c r="B10" i="24"/>
  <c r="C46" i="7"/>
  <c r="C7" i="25"/>
  <c r="D4" i="25"/>
  <c r="E17" i="6"/>
  <c r="E28" i="7"/>
  <c r="E29" i="7"/>
  <c r="E27" i="7"/>
  <c r="E20" i="7"/>
  <c r="E21" i="7"/>
  <c r="E22" i="7"/>
  <c r="E23" i="7"/>
  <c r="E19" i="7"/>
  <c r="E14" i="7"/>
  <c r="E15" i="7"/>
  <c r="E13" i="7"/>
  <c r="C10" i="24" l="1"/>
  <c r="D46" i="7"/>
  <c r="E15" i="25"/>
  <c r="E19" i="25" s="1"/>
  <c r="E28" i="25" s="1"/>
  <c r="D19" i="25"/>
  <c r="D28" i="25" s="1"/>
  <c r="E32" i="7"/>
  <c r="E40" i="7" s="1"/>
  <c r="D7" i="25"/>
  <c r="E4" i="25"/>
  <c r="E7" i="25" s="1"/>
  <c r="B45" i="7"/>
  <c r="E25" i="7"/>
  <c r="E17" i="7"/>
  <c r="D28" i="4"/>
  <c r="E46" i="7" l="1"/>
  <c r="E10" i="24" s="1"/>
  <c r="D10" i="24"/>
  <c r="C45" i="7"/>
  <c r="B47" i="7"/>
  <c r="B8" i="24"/>
  <c r="B28" i="4"/>
  <c r="C28" i="4"/>
  <c r="E21" i="4"/>
  <c r="E22" i="4"/>
  <c r="E23" i="4"/>
  <c r="E24" i="4"/>
  <c r="E25" i="4"/>
  <c r="E26" i="4"/>
  <c r="E27" i="4"/>
  <c r="E20" i="4"/>
  <c r="E17" i="4"/>
  <c r="E18" i="4"/>
  <c r="E16" i="4"/>
  <c r="E3" i="4"/>
  <c r="B5" i="24" l="1"/>
  <c r="B6" i="24" s="1"/>
  <c r="G3" i="23"/>
  <c r="G4" i="23"/>
  <c r="G5" i="23"/>
  <c r="B19" i="24"/>
  <c r="B11" i="24"/>
  <c r="D45" i="7"/>
  <c r="C8" i="24"/>
  <c r="C47" i="7"/>
  <c r="C5" i="24" s="1"/>
  <c r="C6" i="24" s="1"/>
  <c r="B13" i="3"/>
  <c r="E28" i="4"/>
  <c r="I3" i="23" l="1"/>
  <c r="H3" i="23"/>
  <c r="J3" i="23" s="1"/>
  <c r="E45" i="7"/>
  <c r="D47" i="7"/>
  <c r="D5" i="24" s="1"/>
  <c r="D6" i="24" s="1"/>
  <c r="D8" i="24"/>
  <c r="I4" i="23"/>
  <c r="H4" i="23"/>
  <c r="J4" i="23" s="1"/>
  <c r="C19" i="24"/>
  <c r="C11" i="24"/>
  <c r="I5" i="23"/>
  <c r="H5" i="23"/>
  <c r="J5" i="23" s="1"/>
  <c r="D6" i="23"/>
  <c r="G2" i="23"/>
  <c r="B16" i="3"/>
  <c r="G6" i="23" l="1"/>
  <c r="I2" i="23"/>
  <c r="I6" i="23" s="1"/>
  <c r="H2" i="23"/>
  <c r="D19" i="24"/>
  <c r="D11" i="24"/>
  <c r="E8" i="24"/>
  <c r="E47" i="7"/>
  <c r="E5" i="24" s="1"/>
  <c r="E6" i="24" s="1"/>
  <c r="B14" i="2"/>
  <c r="E8" i="6"/>
  <c r="E19" i="24" l="1"/>
  <c r="E11" i="24"/>
  <c r="H6" i="23"/>
  <c r="J2" i="23"/>
  <c r="J6" i="23" s="1"/>
  <c r="E19" i="6"/>
  <c r="E21" i="6" s="1"/>
  <c r="C21" i="6"/>
</calcChain>
</file>

<file path=xl/comments1.xml><?xml version="1.0" encoding="utf-8"?>
<comments xmlns="http://schemas.openxmlformats.org/spreadsheetml/2006/main">
  <authors>
    <author>ROOT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>(se puede estimar en un 10% de la suma de todos los rubros anteriores.)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0">
      <text>
        <r>
          <rPr>
            <b/>
            <sz val="9"/>
            <color indexed="81"/>
            <rFont val="Tahoma"/>
            <family val="2"/>
          </rPr>
          <t>Los pasivos corrientes deben ser superiores a sus activos corrientes, para poder operar para no caer en iliqueidez.</t>
        </r>
      </text>
    </comment>
  </commentList>
</comments>
</file>

<file path=xl/comments2.xml><?xml version="1.0" encoding="utf-8"?>
<comments xmlns="http://schemas.openxmlformats.org/spreadsheetml/2006/main">
  <authors>
    <author>ROOT</author>
  </authors>
  <commentList>
    <comment ref="A43" authorId="0">
      <text>
        <r>
          <rPr>
            <b/>
            <sz val="9"/>
            <color indexed="81"/>
            <rFont val="Tahoma"/>
            <family val="2"/>
          </rPr>
          <t>Incremento del 3%</t>
        </r>
      </text>
    </comment>
  </commentList>
</comments>
</file>

<file path=xl/comments3.xml><?xml version="1.0" encoding="utf-8"?>
<comments xmlns="http://schemas.openxmlformats.org/spreadsheetml/2006/main">
  <authors>
    <author>ROOT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 xml:space="preserve">total maquinaria y equipo de planta </t>
        </r>
      </text>
    </comment>
  </commentList>
</comments>
</file>

<file path=xl/sharedStrings.xml><?xml version="1.0" encoding="utf-8"?>
<sst xmlns="http://schemas.openxmlformats.org/spreadsheetml/2006/main" count="459" uniqueCount="328">
  <si>
    <t>ESTABLECIMIENTO DEL FLUJO NETO DE CAJA</t>
  </si>
  <si>
    <t>PLAN DE INVERSIÓN</t>
  </si>
  <si>
    <t>ÍTEM</t>
  </si>
  <si>
    <t>VALOR</t>
  </si>
  <si>
    <t>Gastos previos a la producción</t>
  </si>
  <si>
    <t>Inversiones fijas depreciables</t>
  </si>
  <si>
    <t>Inversiones fijas no depreciables</t>
  </si>
  <si>
    <t>Capital de trabajo</t>
  </si>
  <si>
    <t>SAN PIAGMAR
 Flujo Neto de Caja (FNC)</t>
  </si>
  <si>
    <t>SERVICIO NACIONAL DE APRENDIZAJE -SENA-</t>
  </si>
  <si>
    <t>CENTRO DE SERVICIOS FINANCIEROS</t>
  </si>
  <si>
    <t xml:space="preserve">ANGELICA LEON MUETE </t>
  </si>
  <si>
    <t xml:space="preserve">MARCELINO RODRIGUEZ SEGURA </t>
  </si>
  <si>
    <t>SANDRA PATRICIA DAZA ALVARADO</t>
  </si>
  <si>
    <t>FICHA 397246</t>
  </si>
  <si>
    <t>GESTION EMPRESARIAL</t>
  </si>
  <si>
    <t>Gastos de constitución y registro de la empresa, incluidos los honorarios de abogados.</t>
  </si>
  <si>
    <t xml:space="preserve">Sueldos, y contribuciones de personal por concepto de prestaciones </t>
  </si>
  <si>
    <t>RUBROS</t>
  </si>
  <si>
    <t xml:space="preserve">propaganda y anuncios </t>
  </si>
  <si>
    <t>supervisión de las actividades de montaje dietas, sueldos y expendios de los participantes</t>
  </si>
  <si>
    <t>Alquiler y mantenimiento de local</t>
  </si>
  <si>
    <t>maquinaria y equipo de planta</t>
  </si>
  <si>
    <t xml:space="preserve">INVERSIONES FIJAS </t>
  </si>
  <si>
    <t xml:space="preserve">ACTIVOS DIFERIDOS </t>
  </si>
  <si>
    <t xml:space="preserve">CAPITAL DE OPERACIÓN </t>
  </si>
  <si>
    <t>materias primas</t>
  </si>
  <si>
    <t>TOTAL</t>
  </si>
  <si>
    <t>GASTOS PREVIOS A LA PRODUCCION</t>
  </si>
  <si>
    <t>mesa de trabajo</t>
  </si>
  <si>
    <t>licuadoras</t>
  </si>
  <si>
    <t>freidora</t>
  </si>
  <si>
    <t>asador</t>
  </si>
  <si>
    <t>congeladores</t>
  </si>
  <si>
    <t>refrigeradores</t>
  </si>
  <si>
    <t>lavaloza</t>
  </si>
  <si>
    <t>horno de microondas</t>
  </si>
  <si>
    <t xml:space="preserve">EQUIPO DE COCINA </t>
  </si>
  <si>
    <t xml:space="preserve">UTENCILIOS </t>
  </si>
  <si>
    <t xml:space="preserve">sartenes </t>
  </si>
  <si>
    <t xml:space="preserve">ollas </t>
  </si>
  <si>
    <t xml:space="preserve">cazuelas </t>
  </si>
  <si>
    <t xml:space="preserve">CRISTALERIA Y LOZA </t>
  </si>
  <si>
    <t xml:space="preserve">coladores </t>
  </si>
  <si>
    <t xml:space="preserve">cucharas </t>
  </si>
  <si>
    <t xml:space="preserve">medidores </t>
  </si>
  <si>
    <t xml:space="preserve">abrelatas </t>
  </si>
  <si>
    <t xml:space="preserve">cremeras </t>
  </si>
  <si>
    <t xml:space="preserve">salseras </t>
  </si>
  <si>
    <t xml:space="preserve">pimenteros </t>
  </si>
  <si>
    <t xml:space="preserve">saleros </t>
  </si>
  <si>
    <t xml:space="preserve">UNIFORMES </t>
  </si>
  <si>
    <t>Tarjetas de presentación Del lugar, gerente, chef y dueño.</t>
  </si>
  <si>
    <t>Formatos Operativos De solicitud de víveres, botellas y materiales.</t>
  </si>
  <si>
    <t>Comandas Para tomar los pedidos y entregarlos a cocina.</t>
  </si>
  <si>
    <t xml:space="preserve">Chef </t>
  </si>
  <si>
    <t>Aseo</t>
  </si>
  <si>
    <t xml:space="preserve">Entregas </t>
  </si>
  <si>
    <t xml:space="preserve">Ayudante de cocina </t>
  </si>
  <si>
    <t>CANTIDAD</t>
  </si>
  <si>
    <t xml:space="preserve">computadores </t>
  </si>
  <si>
    <t>INVERSIONES FIJAS DEPRECIABLES</t>
  </si>
  <si>
    <t xml:space="preserve">VALOR DE ADQUISICION </t>
  </si>
  <si>
    <t xml:space="preserve">TOTAL DEPRECIADO ANUAL </t>
  </si>
  <si>
    <t>DEPRECIACION ANUAL</t>
  </si>
  <si>
    <t xml:space="preserve">TOTAL </t>
  </si>
  <si>
    <t>Estufa industrial</t>
  </si>
  <si>
    <t>VIDA UTIL SEGÚN TIEMPO  (años)</t>
  </si>
  <si>
    <t>Impresora</t>
  </si>
  <si>
    <t xml:space="preserve">RUBRO </t>
  </si>
  <si>
    <t xml:space="preserve">Mano de obra directa </t>
  </si>
  <si>
    <t xml:space="preserve">CAPITAL DE TRABAJO </t>
  </si>
  <si>
    <t>Remodelación del Local</t>
  </si>
  <si>
    <t>Decoración del Local</t>
  </si>
  <si>
    <t xml:space="preserve">SERVICIOS PUBLICOS </t>
  </si>
  <si>
    <t xml:space="preserve">adminsitrador pagina web </t>
  </si>
  <si>
    <t>Entregas</t>
  </si>
  <si>
    <t xml:space="preserve">oficios varios </t>
  </si>
  <si>
    <t xml:space="preserve">ayudante de cocina </t>
  </si>
  <si>
    <t xml:space="preserve">chef </t>
  </si>
  <si>
    <t>gerente administrativo</t>
  </si>
  <si>
    <t>gerente financiero</t>
  </si>
  <si>
    <t xml:space="preserve">revisor fiscal </t>
  </si>
  <si>
    <t>internet</t>
  </si>
  <si>
    <t>telefono</t>
  </si>
  <si>
    <t xml:space="preserve">luz </t>
  </si>
  <si>
    <t xml:space="preserve">agua </t>
  </si>
  <si>
    <t xml:space="preserve">UNIDAD DE MEDIDA </t>
  </si>
  <si>
    <t>RUBRO</t>
  </si>
  <si>
    <t xml:space="preserve">utiles de oficina </t>
  </si>
  <si>
    <t xml:space="preserve">utiles de limpieza </t>
  </si>
  <si>
    <t xml:space="preserve">PRODUCTO A </t>
  </si>
  <si>
    <t>BURRITOS VEGETARIANOS</t>
  </si>
  <si>
    <t xml:space="preserve">PRODUCTO B </t>
  </si>
  <si>
    <t xml:space="preserve">PIZA NATURAL </t>
  </si>
  <si>
    <t xml:space="preserve">PRODUCTO C </t>
  </si>
  <si>
    <t>HAMBURGESA VEGETARIANA</t>
  </si>
  <si>
    <t>SANDWICH LIGTH</t>
  </si>
  <si>
    <t xml:space="preserve">PRODUCTO D </t>
  </si>
  <si>
    <t>COSTO DE INGREDIENTES POR PLATO MP</t>
  </si>
  <si>
    <t>PRODUCTO</t>
  </si>
  <si>
    <t>CANTIDAD POR PRODUCTO</t>
  </si>
  <si>
    <t>INGREDIENTES</t>
  </si>
  <si>
    <t xml:space="preserve">PRECIO DE INGREDIENTE </t>
  </si>
  <si>
    <t xml:space="preserve">PRECIO DE CANTIDAD POR PRODUCTO </t>
  </si>
  <si>
    <t xml:space="preserve">VENTAS MENSUALES POR PRODUCTO </t>
  </si>
  <si>
    <t xml:space="preserve">MESES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</si>
  <si>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</si>
  <si>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</si>
  <si>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</si>
  <si>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</si>
  <si>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</si>
  <si>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</si>
  <si>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</si>
  <si>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</si>
  <si>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</si>
  <si>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</si>
  <si>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</si>
  <si>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</si>
  <si>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CARGO </t>
  </si>
  <si>
    <t xml:space="preserve">SUELDO MENSUAL </t>
  </si>
  <si>
    <t xml:space="preserve">MANO DE OBRA DIRECTA </t>
  </si>
  <si>
    <t xml:space="preserve">CESANTIAS </t>
  </si>
  <si>
    <t xml:space="preserve">INTERESES SOBRE CESANTIAS </t>
  </si>
  <si>
    <t xml:space="preserve">VACACIONES </t>
  </si>
  <si>
    <t xml:space="preserve">SALUD Y PENSION </t>
  </si>
  <si>
    <t xml:space="preserve">ARP </t>
  </si>
  <si>
    <t>EPS</t>
  </si>
  <si>
    <t>AFP</t>
  </si>
  <si>
    <t xml:space="preserve">DEDUCIDOS </t>
  </si>
  <si>
    <t xml:space="preserve">DEVENGADOS </t>
  </si>
  <si>
    <t xml:space="preserve">TOTAL X MES </t>
  </si>
  <si>
    <t>Impuestos</t>
  </si>
  <si>
    <t>Seguros</t>
  </si>
  <si>
    <t>Propaganda y Publicidad</t>
  </si>
  <si>
    <t>Envases y Empaques</t>
  </si>
  <si>
    <t>Imprevistos</t>
  </si>
  <si>
    <t xml:space="preserve">GASTOS ADMINISTRATIVOS </t>
  </si>
  <si>
    <t xml:space="preserve">GASTOS DE VENTAS </t>
  </si>
  <si>
    <t xml:space="preserve">GASTOS VENTAS </t>
  </si>
  <si>
    <t xml:space="preserve">COSTOS INDIRECTOS DE PRODUCCION </t>
  </si>
  <si>
    <t xml:space="preserve">GASTOS DE ADMINISTRACION </t>
  </si>
  <si>
    <t xml:space="preserve">AÑO 1 </t>
  </si>
  <si>
    <t xml:space="preserve">AÑO 2 </t>
  </si>
  <si>
    <t>AÑO 3</t>
  </si>
  <si>
    <t xml:space="preserve">AÑO 4 </t>
  </si>
  <si>
    <t xml:space="preserve">Gastos de ensayo de funcionamiento, iniciación y puesta en marcha Imprevistos.  </t>
  </si>
  <si>
    <t>TOTAL MAQUINARIA Y EQUIPO DE PLANTA</t>
  </si>
  <si>
    <t xml:space="preserve">MATERIA PRIMA </t>
  </si>
  <si>
    <t>UN</t>
  </si>
  <si>
    <t>PACA X 30</t>
  </si>
  <si>
    <t>KIT</t>
  </si>
  <si>
    <t xml:space="preserve">COMPRA POR MES </t>
  </si>
  <si>
    <t xml:space="preserve">TOTAL COSTOS DE PRODUCCION </t>
  </si>
  <si>
    <t xml:space="preserve">TOTAL CONCEPTO </t>
  </si>
  <si>
    <t>otros</t>
  </si>
  <si>
    <t>articulos de cocina</t>
  </si>
  <si>
    <t>gas</t>
  </si>
  <si>
    <t xml:space="preserve">materia prima por mes </t>
  </si>
  <si>
    <t>MP X MES</t>
  </si>
  <si>
    <t>produccion</t>
  </si>
  <si>
    <t>años amortizacion</t>
  </si>
  <si>
    <t>gastos de inicio 1 año</t>
  </si>
  <si>
    <t>VALOR 1 AÑO</t>
  </si>
  <si>
    <t xml:space="preserve">POLITICA EN DIAS </t>
  </si>
  <si>
    <t>BASE</t>
  </si>
  <si>
    <t xml:space="preserve">PLAN DE INVERSION Y FINANCIACION </t>
  </si>
  <si>
    <t xml:space="preserve">CAJA </t>
  </si>
  <si>
    <t xml:space="preserve">TOTAL CAPITAL DE TRABAJO </t>
  </si>
  <si>
    <t xml:space="preserve">TOTAL ACTIVOS FIJOS </t>
  </si>
  <si>
    <t xml:space="preserve">FONDO EMPRENDER </t>
  </si>
  <si>
    <t>RECURSO PROPIO</t>
  </si>
  <si>
    <t>TOTAL CAPITAL DE TRABAJO</t>
  </si>
  <si>
    <t>GASTOS DE INICIO</t>
  </si>
  <si>
    <t>TOTAL INVERSION</t>
  </si>
  <si>
    <t>INVE.DIFERIDAS</t>
  </si>
  <si>
    <t>PARAFISCALES</t>
  </si>
  <si>
    <t xml:space="preserve">PAGOS ASUMIDOS POR EL EMPLEADOR </t>
  </si>
  <si>
    <t>SUBSIDIO DE TRANSPORTE</t>
  </si>
  <si>
    <t>SENA 2%</t>
  </si>
  <si>
    <t>ICBF 3%</t>
  </si>
  <si>
    <t>CAJAS DE COMPENSACION 4%</t>
  </si>
  <si>
    <t xml:space="preserve">NETO A PAGAR </t>
  </si>
  <si>
    <t>TOTAL DEDUCIDOS</t>
  </si>
  <si>
    <t>TOTAL DEVENGADOS</t>
  </si>
  <si>
    <t xml:space="preserve">TOTAL NOMINA MES </t>
  </si>
  <si>
    <t>TOTAL RSSS</t>
  </si>
  <si>
    <t>TOTAL VALOR NOMINA MENSUAL</t>
  </si>
  <si>
    <t>total nomina mensual</t>
  </si>
  <si>
    <t>carne de soya (carve)</t>
  </si>
  <si>
    <t>tomates</t>
  </si>
  <si>
    <t>cebolla</t>
  </si>
  <si>
    <t>frijoles refritos</t>
  </si>
  <si>
    <t>aceite</t>
  </si>
  <si>
    <t>sal</t>
  </si>
  <si>
    <t>comino</t>
  </si>
  <si>
    <t>ajos</t>
  </si>
  <si>
    <t>tortillas de maiz</t>
  </si>
  <si>
    <t>chiles jalapeños</t>
  </si>
  <si>
    <t>queso</t>
  </si>
  <si>
    <t>Orégano</t>
  </si>
  <si>
    <t>harina integral</t>
  </si>
  <si>
    <t>agua</t>
  </si>
  <si>
    <t>aceite de oliva</t>
  </si>
  <si>
    <t>pimiento rojo</t>
  </si>
  <si>
    <t>brocoli</t>
  </si>
  <si>
    <t>cahmpiñones</t>
  </si>
  <si>
    <t>pimientos verdes</t>
  </si>
  <si>
    <t>pimienta negra</t>
  </si>
  <si>
    <t xml:space="preserve">Calabaza </t>
  </si>
  <si>
    <t xml:space="preserve">Manteca </t>
  </si>
  <si>
    <t xml:space="preserve">Caldo de verduras en polvo </t>
  </si>
  <si>
    <t>lechuga</t>
  </si>
  <si>
    <t>espinacas</t>
  </si>
  <si>
    <t xml:space="preserve">huevos </t>
  </si>
  <si>
    <t>levadura en polvo</t>
  </si>
  <si>
    <t>aceitunas</t>
  </si>
  <si>
    <t>berenjenas</t>
  </si>
  <si>
    <t>aceitunas negras</t>
  </si>
  <si>
    <t xml:space="preserve">Miel </t>
  </si>
  <si>
    <t>CC</t>
  </si>
  <si>
    <t>GR</t>
  </si>
  <si>
    <t>COSTO TOTAL POR PRODUCTO</t>
  </si>
  <si>
    <t>empaque</t>
  </si>
  <si>
    <t>adicionales</t>
  </si>
  <si>
    <t>CANTIDADES</t>
  </si>
  <si>
    <t>muebles y enceres</t>
  </si>
  <si>
    <t>UNIDADES PRODUCIDAS X CANTIDAD DE INGREDIENTE</t>
  </si>
  <si>
    <t xml:space="preserve">CANTIDAD X COMPRAR A MES </t>
  </si>
  <si>
    <t>INGRESO DE PERSONAS EN 1 HRA</t>
  </si>
  <si>
    <t>VISITA RESTAURANTE VEGETARIANO</t>
  </si>
  <si>
    <t>ITEM</t>
  </si>
  <si>
    <t>VALORES</t>
  </si>
  <si>
    <t>OBSERVACIONES</t>
  </si>
  <si>
    <t xml:space="preserve">TEMPORADAS ALTAS SE INCREMENTAN VISITAS HASTA UN 30 % JUNIO DICIEMBRE </t>
  </si>
  <si>
    <t>FUENTE http://www.integracionsocial.gov.co/anexos/documentos/gsi/LECTURA%20DE%20REALIDADES%20TERRITORIO%20CHAPINERO%20CENTRAL[1].pdf</t>
  </si>
  <si>
    <t xml:space="preserve">VALOR TOTAL TEMPORADA ALTA </t>
  </si>
  <si>
    <t>VALOR TOTAL COMIDAS RAPIDAS DIA</t>
  </si>
  <si>
    <t>TOTAL VALOR POR PRODUCTO ANUAL</t>
  </si>
  <si>
    <t xml:space="preserve">TOTAL $ POR MES </t>
  </si>
  <si>
    <t xml:space="preserve">DEL 100 % DE PLATOS VENDIDOS   40% SON COMIDA LIGERA O PASANTE SIMILAR A LA OFRECIDA POR RESTAURANTE </t>
  </si>
  <si>
    <t>VALOR TOTAL A COMPRAR POR UNIDAD</t>
  </si>
  <si>
    <t xml:space="preserve">Pan de aceitunas y semillas </t>
  </si>
  <si>
    <t>CANTIDDADES VENDIDAS POR MES</t>
  </si>
  <si>
    <t xml:space="preserve">TOTAL INVENTARIO </t>
  </si>
  <si>
    <t xml:space="preserve">PROMEDIO MES </t>
  </si>
  <si>
    <t>AÑO 4</t>
  </si>
  <si>
    <t>Producto</t>
  </si>
  <si>
    <t>Precio de Venta</t>
  </si>
  <si>
    <t>Participación</t>
  </si>
  <si>
    <t>Gastos y Costos Fijos</t>
  </si>
  <si>
    <t>Costo Variable</t>
  </si>
  <si>
    <t>Margen Utilidad</t>
  </si>
  <si>
    <t>Ventas Unidades Año</t>
  </si>
  <si>
    <t>Ventas Unidades Mes</t>
  </si>
  <si>
    <t>Ventas Totales Año</t>
  </si>
  <si>
    <t>Ventas Totales Mes</t>
  </si>
  <si>
    <t>PRODUCTO D</t>
  </si>
  <si>
    <t>TOTAL UNIDADES VENDIDAS POR MES / UNIDADES VENDIDAS EN EL AÑO</t>
  </si>
  <si>
    <t>PROMEDIO VTAS POR MES POR PRODUCTO</t>
  </si>
  <si>
    <t>INCREMENTEO EN PRECIO DE VENTA  POR PRODUCCION</t>
  </si>
  <si>
    <t xml:space="preserve">ingresos operacionales </t>
  </si>
  <si>
    <t>AÑO 1</t>
  </si>
  <si>
    <t xml:space="preserve">comercio al por mayor y menor </t>
  </si>
  <si>
    <t xml:space="preserve">(-)devoluciones en ventas </t>
  </si>
  <si>
    <t xml:space="preserve">total </t>
  </si>
  <si>
    <t xml:space="preserve">(-)costos de ventas </t>
  </si>
  <si>
    <t xml:space="preserve">(=)utilidad bruta </t>
  </si>
  <si>
    <t xml:space="preserve">gastos operacionales de administracion </t>
  </si>
  <si>
    <t xml:space="preserve">gastos operacionales de venta </t>
  </si>
  <si>
    <t xml:space="preserve">(=) utilidad operacional </t>
  </si>
  <si>
    <t xml:space="preserve">(+)ingresos no operacionales </t>
  </si>
  <si>
    <t xml:space="preserve">(-)gastos no operacionales </t>
  </si>
  <si>
    <t xml:space="preserve">(=) utilidad neta antes de impuestos y reservas </t>
  </si>
  <si>
    <t>(-)impuestos sobre la renta 33%</t>
  </si>
  <si>
    <t>(=) utilidad liquida</t>
  </si>
  <si>
    <t>AÑO 2</t>
  </si>
  <si>
    <t>Gastos de administraciòn (personal, arrendamiento, mantenimiento y reparacionesm depreciaciones, diversos)</t>
  </si>
  <si>
    <t xml:space="preserve">propaganda y gastos de ventas </t>
  </si>
  <si>
    <t xml:space="preserve">arrendamiento </t>
  </si>
  <si>
    <t xml:space="preserve">afinacieros </t>
  </si>
  <si>
    <t>PRECIO DE VENTA POR PRODUCTOS</t>
  </si>
  <si>
    <t>COSTO DE PRODUCCION</t>
  </si>
  <si>
    <t>COSTO DE ADMINISTRACION</t>
  </si>
  <si>
    <t>COSTO DE VENTA</t>
  </si>
  <si>
    <t>VALOR PORMEDIO DE COMPETENCIA</t>
  </si>
  <si>
    <t>INVERSION</t>
  </si>
  <si>
    <t>PRECIO DE VENTA TOTAL</t>
  </si>
  <si>
    <t>BALANCE GENERAL</t>
  </si>
  <si>
    <t>Activo</t>
  </si>
  <si>
    <t>Efectivo</t>
  </si>
  <si>
    <t>Inventarios Materias Primas e Insumos</t>
  </si>
  <si>
    <t>Gastos Anticipados</t>
  </si>
  <si>
    <t>Total Activo Corriente:</t>
  </si>
  <si>
    <t>Terrenos</t>
  </si>
  <si>
    <t>Total Activos Fijos:</t>
  </si>
  <si>
    <t>Total Otros Activos Fijos</t>
  </si>
  <si>
    <t>ACTIVO</t>
  </si>
  <si>
    <t>Pasivo</t>
  </si>
  <si>
    <t>Cuentas X Pagar Proveedores</t>
  </si>
  <si>
    <t>Impuestos X Pagar</t>
  </si>
  <si>
    <t>Acreedores Varios</t>
  </si>
  <si>
    <t>Obligaciones Financieras</t>
  </si>
  <si>
    <t>Obligacion Fondo Emprender (Contingente)</t>
  </si>
  <si>
    <t>PASIVO</t>
  </si>
  <si>
    <t>Patrimonio</t>
  </si>
  <si>
    <t>Capital Social</t>
  </si>
  <si>
    <t>Reserva Legal Acumulada</t>
  </si>
  <si>
    <t>Utilidades del Ejercicio</t>
  </si>
  <si>
    <t>Revalorizacion patrimonio</t>
  </si>
  <si>
    <t>PATRIMONIO</t>
  </si>
  <si>
    <t>PASIVO + PATRIMONIO</t>
  </si>
  <si>
    <t>Muebles y equipo</t>
  </si>
  <si>
    <t>Utilidad Operacional</t>
  </si>
  <si>
    <t>Neto Flujo de Caja Operativo</t>
  </si>
  <si>
    <t>Neto Flujo de Caja Inversión</t>
  </si>
  <si>
    <t>Desembolsos Pasivo Largo Plazo</t>
  </si>
  <si>
    <t>Amortizaciones Pasivos Largo Plazo</t>
  </si>
  <si>
    <t>Intereses Pagados</t>
  </si>
  <si>
    <t>Dividendos Pagados</t>
  </si>
  <si>
    <t>Capital</t>
  </si>
  <si>
    <t>Neto Flujo de Caja Financiamiento</t>
  </si>
  <si>
    <t>operativo</t>
  </si>
  <si>
    <t>inversion</t>
  </si>
  <si>
    <t>financiamiento</t>
  </si>
  <si>
    <t xml:space="preserve">desembolsos fondo emprender </t>
  </si>
  <si>
    <t>1 AÑO</t>
  </si>
  <si>
    <t>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</si>
</sst>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[$$-240A]\ * #,##0.00_);_([$$-240A]\ * \(#,##0.00\);_([$$-240A]\ * &quot;-&quot;??_);_(@_)"/>
    <numFmt numFmtId="165" formatCode="&quot;$&quot;\ #,##0;[Red]&quot;$&quot;\ #,##0"/>
    <numFmt numFmtId="166" formatCode="#,##0;[Red]#,##0"/>
    <numFmt numFmtId="167" formatCode="0;[Red]0"/>
    <numFmt numFmtId="168" formatCode="&quot;$&quot;\ #,##0.00;[Red]&quot;$&quot;\ #,##0.00"/>
    <numFmt numFmtId="169" formatCode="0.0;[Red]0.0"/>
    <numFmt numFmtId="170" formatCode="&quot;$&quot;\ #,##0.0;[Red]&quot;$&quot;\ #,##0.0"/>
    <numFmt numFmtId="171" formatCode="_ * #,##0.00_ ;_ * \-#,##0.00_ ;_ * &quot;-&quot;??_ ;_ @_ "/>
    <numFmt numFmtId="172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0"/>
      <name val="Arial"/>
      <family val="2"/>
    </font>
    <font>
      <b/>
      <u/>
      <sz val="18"/>
      <color rgb="FFC0000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41414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C0000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333333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name val="Arial"/>
      <family val="2"/>
    </font>
    <font>
      <sz val="10"/>
      <color theme="0"/>
      <name val="Arial"/>
      <family val="2"/>
    </font>
    <font>
      <b/>
      <sz val="10"/>
      <color rgb="FFC00000"/>
      <name val="Arial"/>
      <family val="2"/>
    </font>
    <font>
      <sz val="10"/>
      <color rgb="FF002060"/>
      <name val="Arial"/>
      <family val="2"/>
    </font>
    <font>
      <sz val="10"/>
      <color rgb="FFC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</cellStyleXfs>
  <cellXfs count="342">
    <xf numFmtId="0" fontId="0" fillId="0" borderId="0" xfId="0"/>
    <xf numFmtId="0" fontId="3" fillId="6" borderId="2" xfId="0" applyFont="1" applyFill="1" applyBorder="1" applyAlignment="1">
      <alignment horizontal="center"/>
    </xf>
    <xf numFmtId="0" fontId="0" fillId="6" borderId="2" xfId="0" applyFill="1" applyBorder="1"/>
    <xf numFmtId="0" fontId="7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7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0" fillId="0" borderId="1" xfId="0" applyBorder="1"/>
    <xf numFmtId="165" fontId="0" fillId="0" borderId="0" xfId="0" applyNumberFormat="1"/>
    <xf numFmtId="165" fontId="11" fillId="0" borderId="1" xfId="0" applyNumberFormat="1" applyFont="1" applyBorder="1"/>
    <xf numFmtId="165" fontId="0" fillId="0" borderId="1" xfId="0" applyNumberFormat="1" applyBorder="1"/>
    <xf numFmtId="165" fontId="10" fillId="7" borderId="1" xfId="0" applyNumberFormat="1" applyFont="1" applyFill="1" applyBorder="1" applyAlignment="1"/>
    <xf numFmtId="166" fontId="0" fillId="0" borderId="1" xfId="0" applyNumberFormat="1" applyBorder="1"/>
    <xf numFmtId="166" fontId="0" fillId="0" borderId="0" xfId="0" applyNumberFormat="1"/>
    <xf numFmtId="0" fontId="12" fillId="8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0" xfId="0" applyFont="1"/>
    <xf numFmtId="0" fontId="14" fillId="7" borderId="1" xfId="0" applyFont="1" applyFill="1" applyBorder="1" applyAlignment="1">
      <alignment horizontal="center" wrapText="1"/>
    </xf>
    <xf numFmtId="164" fontId="13" fillId="0" borderId="1" xfId="0" applyNumberFormat="1" applyFont="1" applyBorder="1" applyAlignment="1">
      <alignment wrapText="1"/>
    </xf>
    <xf numFmtId="0" fontId="13" fillId="0" borderId="1" xfId="0" applyFont="1" applyBorder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3" fillId="5" borderId="1" xfId="0" applyFont="1" applyFill="1" applyBorder="1" applyAlignment="1">
      <alignment horizontal="left" wrapText="1"/>
    </xf>
    <xf numFmtId="164" fontId="13" fillId="5" borderId="1" xfId="0" applyNumberFormat="1" applyFont="1" applyFill="1" applyBorder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165" fontId="0" fillId="7" borderId="1" xfId="0" applyNumberFormat="1" applyFill="1" applyBorder="1"/>
    <xf numFmtId="164" fontId="13" fillId="7" borderId="1" xfId="0" applyNumberFormat="1" applyFont="1" applyFill="1" applyBorder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left" wrapText="1"/>
    </xf>
    <xf numFmtId="165" fontId="19" fillId="2" borderId="1" xfId="0" applyNumberFormat="1" applyFont="1" applyFill="1" applyBorder="1" applyAlignment="1">
      <alignment wrapText="1"/>
    </xf>
    <xf numFmtId="165" fontId="20" fillId="2" borderId="1" xfId="0" applyNumberFormat="1" applyFont="1" applyFill="1" applyBorder="1" applyAlignment="1">
      <alignment horizontal="center" vertical="center" wrapText="1"/>
    </xf>
    <xf numFmtId="166" fontId="20" fillId="2" borderId="1" xfId="0" applyNumberFormat="1" applyFont="1" applyFill="1" applyBorder="1" applyAlignment="1">
      <alignment horizontal="center" vertical="center" wrapText="1"/>
    </xf>
    <xf numFmtId="165" fontId="10" fillId="2" borderId="5" xfId="0" applyNumberFormat="1" applyFont="1" applyFill="1" applyBorder="1" applyAlignment="1"/>
    <xf numFmtId="165" fontId="10" fillId="2" borderId="1" xfId="0" applyNumberFormat="1" applyFont="1" applyFill="1" applyBorder="1" applyAlignment="1"/>
    <xf numFmtId="166" fontId="10" fillId="2" borderId="1" xfId="0" applyNumberFormat="1" applyFont="1" applyFill="1" applyBorder="1" applyAlignment="1"/>
    <xf numFmtId="0" fontId="23" fillId="0" borderId="0" xfId="0" applyFont="1" applyAlignment="1">
      <alignment vertical="center"/>
    </xf>
    <xf numFmtId="0" fontId="22" fillId="7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1" xfId="0" applyFont="1" applyBorder="1" applyAlignment="1"/>
    <xf numFmtId="0" fontId="23" fillId="0" borderId="0" xfId="0" applyFont="1" applyAlignment="1"/>
    <xf numFmtId="0" fontId="23" fillId="5" borderId="1" xfId="0" applyFont="1" applyFill="1" applyBorder="1" applyAlignment="1"/>
    <xf numFmtId="0" fontId="16" fillId="0" borderId="1" xfId="0" applyFont="1" applyFill="1" applyBorder="1" applyAlignment="1" applyProtection="1">
      <alignment wrapText="1"/>
      <protection locked="0"/>
    </xf>
    <xf numFmtId="165" fontId="23" fillId="7" borderId="1" xfId="0" applyNumberFormat="1" applyFont="1" applyFill="1" applyBorder="1" applyAlignment="1">
      <alignment vertical="center"/>
    </xf>
    <xf numFmtId="165" fontId="23" fillId="0" borderId="0" xfId="0" applyNumberFormat="1" applyFont="1" applyAlignment="1">
      <alignment vertical="center"/>
    </xf>
    <xf numFmtId="0" fontId="22" fillId="7" borderId="1" xfId="0" applyFont="1" applyFill="1" applyBorder="1" applyAlignment="1">
      <alignment vertical="center"/>
    </xf>
    <xf numFmtId="165" fontId="22" fillId="7" borderId="1" xfId="0" applyNumberFormat="1" applyFont="1" applyFill="1" applyBorder="1" applyAlignment="1">
      <alignment vertical="center"/>
    </xf>
    <xf numFmtId="0" fontId="22" fillId="7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65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right" vertical="center" wrapText="1"/>
    </xf>
    <xf numFmtId="0" fontId="15" fillId="7" borderId="1" xfId="0" applyFont="1" applyFill="1" applyBorder="1" applyAlignment="1">
      <alignment horizontal="righ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165" fontId="22" fillId="2" borderId="1" xfId="0" applyNumberFormat="1" applyFont="1" applyFill="1" applyBorder="1" applyAlignment="1">
      <alignment vertical="center"/>
    </xf>
    <xf numFmtId="165" fontId="24" fillId="2" borderId="1" xfId="0" applyNumberFormat="1" applyFont="1" applyFill="1" applyBorder="1" applyAlignment="1">
      <alignment vertical="center"/>
    </xf>
    <xf numFmtId="0" fontId="23" fillId="5" borderId="5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right" vertical="center"/>
    </xf>
    <xf numFmtId="0" fontId="13" fillId="5" borderId="1" xfId="0" applyFont="1" applyFill="1" applyBorder="1" applyAlignment="1"/>
    <xf numFmtId="0" fontId="13" fillId="5" borderId="0" xfId="0" applyFont="1" applyFill="1"/>
    <xf numFmtId="165" fontId="13" fillId="7" borderId="1" xfId="0" applyNumberFormat="1" applyFont="1" applyFill="1" applyBorder="1"/>
    <xf numFmtId="0" fontId="13" fillId="0" borderId="1" xfId="0" applyFont="1" applyBorder="1" applyAlignment="1">
      <alignment horizontal="center"/>
    </xf>
    <xf numFmtId="13" fontId="13" fillId="0" borderId="0" xfId="0" applyNumberFormat="1" applyFont="1"/>
    <xf numFmtId="164" fontId="13" fillId="7" borderId="1" xfId="0" applyNumberFormat="1" applyFont="1" applyFill="1" applyBorder="1"/>
    <xf numFmtId="0" fontId="25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164" fontId="25" fillId="2" borderId="0" xfId="0" applyNumberFormat="1" applyFont="1" applyFill="1"/>
    <xf numFmtId="0" fontId="25" fillId="5" borderId="7" xfId="0" applyFont="1" applyFill="1" applyBorder="1" applyAlignment="1">
      <alignment horizontal="left"/>
    </xf>
    <xf numFmtId="164" fontId="25" fillId="5" borderId="0" xfId="0" applyNumberFormat="1" applyFont="1" applyFill="1"/>
    <xf numFmtId="165" fontId="13" fillId="5" borderId="1" xfId="0" applyNumberFormat="1" applyFont="1" applyFill="1" applyBorder="1"/>
    <xf numFmtId="165" fontId="13" fillId="0" borderId="0" xfId="0" applyNumberFormat="1" applyFont="1"/>
    <xf numFmtId="0" fontId="13" fillId="0" borderId="0" xfId="0" applyFont="1" applyBorder="1" applyAlignment="1">
      <alignment horizontal="left"/>
    </xf>
    <xf numFmtId="165" fontId="25" fillId="2" borderId="1" xfId="0" applyNumberFormat="1" applyFont="1" applyFill="1" applyBorder="1"/>
    <xf numFmtId="0" fontId="23" fillId="0" borderId="1" xfId="0" applyFont="1" applyBorder="1" applyAlignment="1">
      <alignment horizontal="left"/>
    </xf>
    <xf numFmtId="0" fontId="23" fillId="0" borderId="0" xfId="0" applyFont="1" applyBorder="1" applyAlignment="1"/>
    <xf numFmtId="0" fontId="22" fillId="7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65" fontId="23" fillId="0" borderId="1" xfId="0" applyNumberFormat="1" applyFont="1" applyBorder="1" applyAlignment="1"/>
    <xf numFmtId="0" fontId="23" fillId="0" borderId="0" xfId="0" applyFont="1" applyAlignment="1">
      <alignment wrapText="1"/>
    </xf>
    <xf numFmtId="0" fontId="22" fillId="7" borderId="1" xfId="0" applyFont="1" applyFill="1" applyBorder="1" applyAlignment="1">
      <alignment horizontal="center" wrapText="1"/>
    </xf>
    <xf numFmtId="164" fontId="22" fillId="7" borderId="1" xfId="0" applyNumberFormat="1" applyFont="1" applyFill="1" applyBorder="1" applyAlignment="1"/>
    <xf numFmtId="0" fontId="22" fillId="7" borderId="1" xfId="0" applyFont="1" applyFill="1" applyBorder="1" applyAlignment="1"/>
    <xf numFmtId="165" fontId="26" fillId="8" borderId="1" xfId="0" applyNumberFormat="1" applyFont="1" applyFill="1" applyBorder="1" applyAlignment="1">
      <alignment horizontal="left" vertical="center"/>
    </xf>
    <xf numFmtId="165" fontId="23" fillId="0" borderId="0" xfId="0" applyNumberFormat="1" applyFont="1" applyAlignment="1"/>
    <xf numFmtId="165" fontId="23" fillId="7" borderId="1" xfId="0" applyNumberFormat="1" applyFont="1" applyFill="1" applyBorder="1" applyAlignment="1"/>
    <xf numFmtId="0" fontId="22" fillId="9" borderId="1" xfId="0" applyFont="1" applyFill="1" applyBorder="1" applyAlignment="1">
      <alignment horizontal="center" wrapText="1"/>
    </xf>
    <xf numFmtId="165" fontId="23" fillId="9" borderId="1" xfId="0" applyNumberFormat="1" applyFont="1" applyFill="1" applyBorder="1" applyAlignment="1"/>
    <xf numFmtId="0" fontId="22" fillId="9" borderId="1" xfId="0" applyFont="1" applyFill="1" applyBorder="1" applyAlignment="1">
      <alignment horizontal="center"/>
    </xf>
    <xf numFmtId="164" fontId="24" fillId="2" borderId="1" xfId="0" applyNumberFormat="1" applyFont="1" applyFill="1" applyBorder="1" applyAlignment="1"/>
    <xf numFmtId="164" fontId="27" fillId="2" borderId="1" xfId="0" applyNumberFormat="1" applyFont="1" applyFill="1" applyBorder="1" applyAlignment="1"/>
    <xf numFmtId="0" fontId="27" fillId="0" borderId="0" xfId="0" applyFont="1" applyAlignment="1"/>
    <xf numFmtId="164" fontId="23" fillId="0" borderId="1" xfId="0" applyNumberFormat="1" applyFont="1" applyBorder="1" applyAlignment="1">
      <alignment horizontal="right"/>
    </xf>
    <xf numFmtId="0" fontId="22" fillId="5" borderId="0" xfId="0" applyFont="1" applyFill="1" applyBorder="1" applyAlignment="1"/>
    <xf numFmtId="0" fontId="22" fillId="5" borderId="0" xfId="0" applyFont="1" applyFill="1" applyBorder="1" applyAlignment="1">
      <alignment horizontal="center"/>
    </xf>
    <xf numFmtId="165" fontId="23" fillId="5" borderId="0" xfId="0" applyNumberFormat="1" applyFont="1" applyFill="1" applyBorder="1" applyAlignment="1"/>
    <xf numFmtId="164" fontId="24" fillId="5" borderId="0" xfId="0" applyNumberFormat="1" applyFont="1" applyFill="1" applyBorder="1" applyAlignment="1"/>
    <xf numFmtId="0" fontId="23" fillId="5" borderId="0" xfId="0" applyFont="1" applyFill="1" applyBorder="1" applyAlignment="1"/>
    <xf numFmtId="0" fontId="23" fillId="5" borderId="0" xfId="0" applyFont="1" applyFill="1" applyAlignment="1"/>
    <xf numFmtId="165" fontId="23" fillId="5" borderId="1" xfId="0" applyNumberFormat="1" applyFont="1" applyFill="1" applyBorder="1" applyAlignment="1">
      <alignment horizontal="right"/>
    </xf>
    <xf numFmtId="165" fontId="23" fillId="9" borderId="1" xfId="0" applyNumberFormat="1" applyFont="1" applyFill="1" applyBorder="1" applyAlignment="1">
      <alignment horizontal="right" wrapText="1"/>
    </xf>
    <xf numFmtId="165" fontId="23" fillId="7" borderId="1" xfId="0" applyNumberFormat="1" applyFont="1" applyFill="1" applyBorder="1" applyAlignment="1">
      <alignment horizontal="right" wrapText="1"/>
    </xf>
    <xf numFmtId="165" fontId="23" fillId="7" borderId="1" xfId="0" applyNumberFormat="1" applyFont="1" applyFill="1" applyBorder="1" applyAlignment="1">
      <alignment horizontal="right"/>
    </xf>
    <xf numFmtId="165" fontId="23" fillId="9" borderId="1" xfId="0" applyNumberFormat="1" applyFont="1" applyFill="1" applyBorder="1" applyAlignment="1">
      <alignment horizontal="right"/>
    </xf>
    <xf numFmtId="165" fontId="23" fillId="7" borderId="1" xfId="0" applyNumberFormat="1" applyFont="1" applyFill="1" applyBorder="1" applyAlignment="1">
      <alignment horizontal="right" vertical="center" wrapText="1"/>
    </xf>
    <xf numFmtId="165" fontId="23" fillId="7" borderId="9" xfId="0" applyNumberFormat="1" applyFont="1" applyFill="1" applyBorder="1" applyAlignment="1">
      <alignment horizontal="right" vertical="center"/>
    </xf>
    <xf numFmtId="0" fontId="22" fillId="5" borderId="1" xfId="0" applyFont="1" applyFill="1" applyBorder="1" applyAlignment="1"/>
    <xf numFmtId="164" fontId="22" fillId="5" borderId="1" xfId="0" applyNumberFormat="1" applyFont="1" applyFill="1" applyBorder="1" applyAlignment="1"/>
    <xf numFmtId="164" fontId="24" fillId="2" borderId="0" xfId="0" applyNumberFormat="1" applyFont="1" applyFill="1" applyBorder="1" applyAlignment="1"/>
    <xf numFmtId="0" fontId="0" fillId="0" borderId="1" xfId="0" applyBorder="1" applyAlignment="1">
      <alignment wrapText="1"/>
    </xf>
    <xf numFmtId="167" fontId="23" fillId="0" borderId="0" xfId="0" applyNumberFormat="1" applyFont="1" applyAlignment="1"/>
    <xf numFmtId="168" fontId="23" fillId="0" borderId="0" xfId="0" applyNumberFormat="1" applyFont="1" applyAlignment="1"/>
    <xf numFmtId="0" fontId="28" fillId="0" borderId="1" xfId="0" applyFont="1" applyBorder="1" applyAlignment="1">
      <alignment vertical="center" wrapText="1"/>
    </xf>
    <xf numFmtId="167" fontId="23" fillId="0" borderId="1" xfId="0" applyNumberFormat="1" applyFont="1" applyBorder="1" applyAlignment="1"/>
    <xf numFmtId="0" fontId="23" fillId="0" borderId="1" xfId="0" applyFont="1" applyBorder="1" applyAlignment="1">
      <alignment horizontal="center"/>
    </xf>
    <xf numFmtId="0" fontId="26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wrapText="1"/>
    </xf>
    <xf numFmtId="168" fontId="23" fillId="7" borderId="1" xfId="0" applyNumberFormat="1" applyFont="1" applyFill="1" applyBorder="1" applyAlignment="1"/>
    <xf numFmtId="0" fontId="23" fillId="0" borderId="0" xfId="0" applyFont="1" applyAlignment="1">
      <alignment horizontal="right" vertical="center"/>
    </xf>
    <xf numFmtId="0" fontId="24" fillId="2" borderId="1" xfId="0" applyFont="1" applyFill="1" applyBorder="1" applyAlignment="1">
      <alignment horizontal="right" vertical="center" wrapText="1"/>
    </xf>
    <xf numFmtId="165" fontId="24" fillId="2" borderId="1" xfId="0" applyNumberFormat="1" applyFont="1" applyFill="1" applyBorder="1" applyAlignment="1">
      <alignment horizontal="right" vertical="center"/>
    </xf>
    <xf numFmtId="167" fontId="24" fillId="2" borderId="1" xfId="0" applyNumberFormat="1" applyFont="1" applyFill="1" applyBorder="1" applyAlignment="1">
      <alignment horizontal="right" vertical="center"/>
    </xf>
    <xf numFmtId="168" fontId="2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29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wrapText="1"/>
    </xf>
    <xf numFmtId="0" fontId="29" fillId="7" borderId="0" xfId="0" applyFont="1" applyFill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168" fontId="0" fillId="0" borderId="1" xfId="0" applyNumberFormat="1" applyBorder="1"/>
    <xf numFmtId="0" fontId="0" fillId="0" borderId="0" xfId="0" applyAlignment="1">
      <alignment vertical="center" wrapText="1"/>
    </xf>
    <xf numFmtId="0" fontId="29" fillId="2" borderId="5" xfId="0" applyFont="1" applyFill="1" applyBorder="1" applyAlignment="1">
      <alignment horizontal="center"/>
    </xf>
    <xf numFmtId="0" fontId="29" fillId="0" borderId="1" xfId="0" applyFont="1" applyBorder="1"/>
    <xf numFmtId="168" fontId="29" fillId="0" borderId="1" xfId="0" applyNumberFormat="1" applyFont="1" applyBorder="1"/>
    <xf numFmtId="168" fontId="23" fillId="5" borderId="1" xfId="0" applyNumberFormat="1" applyFont="1" applyFill="1" applyBorder="1" applyAlignment="1"/>
    <xf numFmtId="43" fontId="23" fillId="0" borderId="0" xfId="3" applyFont="1" applyAlignment="1"/>
    <xf numFmtId="43" fontId="23" fillId="0" borderId="0" xfId="0" applyNumberFormat="1" applyFont="1" applyAlignment="1"/>
    <xf numFmtId="1" fontId="23" fillId="0" borderId="0" xfId="0" applyNumberFormat="1" applyFont="1" applyAlignment="1"/>
    <xf numFmtId="168" fontId="0" fillId="0" borderId="0" xfId="0" applyNumberFormat="1" applyAlignment="1">
      <alignment horizontal="center"/>
    </xf>
    <xf numFmtId="170" fontId="23" fillId="0" borderId="0" xfId="0" applyNumberFormat="1" applyFont="1" applyAlignment="1"/>
    <xf numFmtId="0" fontId="24" fillId="5" borderId="0" xfId="0" applyFont="1" applyFill="1" applyBorder="1" applyAlignment="1">
      <alignment horizontal="right" vertical="center" wrapText="1"/>
    </xf>
    <xf numFmtId="165" fontId="24" fillId="5" borderId="0" xfId="0" applyNumberFormat="1" applyFont="1" applyFill="1" applyBorder="1" applyAlignment="1">
      <alignment horizontal="right" vertical="center"/>
    </xf>
    <xf numFmtId="167" fontId="24" fillId="5" borderId="0" xfId="0" applyNumberFormat="1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168" fontId="24" fillId="5" borderId="0" xfId="0" applyNumberFormat="1" applyFont="1" applyFill="1" applyBorder="1" applyAlignment="1">
      <alignment horizontal="right" vertical="center"/>
    </xf>
    <xf numFmtId="0" fontId="23" fillId="5" borderId="0" xfId="0" applyFont="1" applyFill="1" applyAlignment="1">
      <alignment horizontal="right" vertical="center"/>
    </xf>
    <xf numFmtId="168" fontId="24" fillId="2" borderId="1" xfId="0" applyNumberFormat="1" applyFont="1" applyFill="1" applyBorder="1" applyAlignment="1"/>
    <xf numFmtId="169" fontId="23" fillId="7" borderId="1" xfId="0" applyNumberFormat="1" applyFont="1" applyFill="1" applyBorder="1" applyAlignment="1"/>
    <xf numFmtId="0" fontId="30" fillId="2" borderId="8" xfId="0" applyFont="1" applyFill="1" applyBorder="1"/>
    <xf numFmtId="165" fontId="30" fillId="2" borderId="8" xfId="0" applyNumberFormat="1" applyFont="1" applyFill="1" applyBorder="1"/>
    <xf numFmtId="168" fontId="30" fillId="2" borderId="8" xfId="0" applyNumberFormat="1" applyFont="1" applyFill="1" applyBorder="1"/>
    <xf numFmtId="0" fontId="0" fillId="5" borderId="0" xfId="0" applyFill="1" applyBorder="1"/>
    <xf numFmtId="0" fontId="29" fillId="2" borderId="7" xfId="0" applyFont="1" applyFill="1" applyBorder="1" applyAlignment="1">
      <alignment vertical="center" wrapText="1"/>
    </xf>
    <xf numFmtId="0" fontId="29" fillId="2" borderId="6" xfId="0" applyFont="1" applyFill="1" applyBorder="1" applyAlignment="1">
      <alignment vertical="center" wrapText="1"/>
    </xf>
    <xf numFmtId="0" fontId="30" fillId="2" borderId="8" xfId="0" applyFont="1" applyFill="1" applyBorder="1" applyAlignment="1">
      <alignment wrapText="1"/>
    </xf>
    <xf numFmtId="0" fontId="30" fillId="2" borderId="8" xfId="0" applyFont="1" applyFill="1" applyBorder="1" applyAlignment="1">
      <alignment vertical="center"/>
    </xf>
    <xf numFmtId="0" fontId="30" fillId="2" borderId="9" xfId="0" applyFont="1" applyFill="1" applyBorder="1" applyAlignment="1">
      <alignment wrapText="1"/>
    </xf>
    <xf numFmtId="0" fontId="30" fillId="2" borderId="9" xfId="0" applyFont="1" applyFill="1" applyBorder="1" applyAlignment="1">
      <alignment vertical="center"/>
    </xf>
    <xf numFmtId="168" fontId="29" fillId="0" borderId="0" xfId="0" applyNumberFormat="1" applyFont="1" applyBorder="1"/>
    <xf numFmtId="0" fontId="29" fillId="2" borderId="1" xfId="0" applyFont="1" applyFill="1" applyBorder="1" applyAlignment="1">
      <alignment horizontal="center" vertical="center" wrapText="1"/>
    </xf>
    <xf numFmtId="10" fontId="0" fillId="0" borderId="12" xfId="2" applyNumberFormat="1" applyFont="1" applyFill="1" applyBorder="1"/>
    <xf numFmtId="0" fontId="29" fillId="0" borderId="19" xfId="0" applyFont="1" applyFill="1" applyBorder="1"/>
    <xf numFmtId="1" fontId="29" fillId="0" borderId="19" xfId="0" applyNumberFormat="1" applyFont="1" applyFill="1" applyBorder="1"/>
    <xf numFmtId="165" fontId="24" fillId="2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24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/>
    </xf>
    <xf numFmtId="43" fontId="15" fillId="2" borderId="21" xfId="0" applyNumberFormat="1" applyFont="1" applyFill="1" applyBorder="1" applyAlignment="1">
      <alignment horizontal="center"/>
    </xf>
    <xf numFmtId="9" fontId="15" fillId="2" borderId="21" xfId="0" applyNumberFormat="1" applyFont="1" applyFill="1" applyBorder="1" applyAlignment="1">
      <alignment horizontal="center"/>
    </xf>
    <xf numFmtId="171" fontId="15" fillId="2" borderId="21" xfId="0" applyNumberFormat="1" applyFont="1" applyFill="1" applyBorder="1" applyAlignment="1">
      <alignment horizontal="center"/>
    </xf>
    <xf numFmtId="171" fontId="15" fillId="2" borderId="22" xfId="0" applyNumberFormat="1" applyFont="1" applyFill="1" applyBorder="1" applyAlignment="1">
      <alignment horizontal="center"/>
    </xf>
    <xf numFmtId="43" fontId="0" fillId="7" borderId="12" xfId="3" applyFont="1" applyFill="1" applyBorder="1"/>
    <xf numFmtId="43" fontId="0" fillId="7" borderId="13" xfId="3" applyFont="1" applyFill="1" applyBorder="1"/>
    <xf numFmtId="43" fontId="0" fillId="7" borderId="1" xfId="3" applyFont="1" applyFill="1" applyBorder="1"/>
    <xf numFmtId="43" fontId="0" fillId="7" borderId="15" xfId="3" applyFont="1" applyFill="1" applyBorder="1"/>
    <xf numFmtId="0" fontId="32" fillId="5" borderId="11" xfId="0" applyFont="1" applyFill="1" applyBorder="1"/>
    <xf numFmtId="43" fontId="0" fillId="5" borderId="12" xfId="3" applyFont="1" applyFill="1" applyBorder="1"/>
    <xf numFmtId="0" fontId="32" fillId="5" borderId="14" xfId="0" applyFont="1" applyFill="1" applyBorder="1"/>
    <xf numFmtId="43" fontId="0" fillId="5" borderId="1" xfId="3" applyFont="1" applyFill="1" applyBorder="1"/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1" xfId="0" applyFill="1" applyBorder="1" applyAlignment="1"/>
    <xf numFmtId="165" fontId="0" fillId="0" borderId="1" xfId="1" applyNumberFormat="1" applyFont="1" applyBorder="1" applyAlignment="1"/>
    <xf numFmtId="165" fontId="0" fillId="0" borderId="1" xfId="1" applyNumberFormat="1" applyFont="1" applyFill="1" applyBorder="1" applyAlignment="1"/>
    <xf numFmtId="165" fontId="0" fillId="7" borderId="1" xfId="1" applyNumberFormat="1" applyFont="1" applyFill="1" applyBorder="1" applyAlignment="1"/>
    <xf numFmtId="0" fontId="0" fillId="5" borderId="1" xfId="0" applyFill="1" applyBorder="1" applyAlignment="1"/>
    <xf numFmtId="0" fontId="31" fillId="2" borderId="1" xfId="0" applyFont="1" applyFill="1" applyBorder="1" applyAlignment="1">
      <alignment horizontal="left"/>
    </xf>
    <xf numFmtId="165" fontId="30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/>
    <xf numFmtId="165" fontId="0" fillId="2" borderId="1" xfId="1" applyNumberFormat="1" applyFont="1" applyFill="1" applyBorder="1" applyAlignment="1"/>
    <xf numFmtId="165" fontId="0" fillId="5" borderId="1" xfId="1" applyNumberFormat="1" applyFont="1" applyFill="1" applyBorder="1" applyAlignment="1"/>
    <xf numFmtId="0" fontId="0" fillId="2" borderId="19" xfId="0" applyFill="1" applyBorder="1" applyAlignment="1"/>
    <xf numFmtId="165" fontId="0" fillId="2" borderId="0" xfId="0" applyNumberFormat="1" applyFill="1"/>
    <xf numFmtId="165" fontId="0" fillId="5" borderId="1" xfId="3" applyNumberFormat="1" applyFont="1" applyFill="1" applyBorder="1"/>
    <xf numFmtId="0" fontId="32" fillId="5" borderId="1" xfId="0" applyFont="1" applyFill="1" applyBorder="1"/>
    <xf numFmtId="165" fontId="0" fillId="0" borderId="1" xfId="2" applyNumberFormat="1" applyFont="1" applyFill="1" applyBorder="1"/>
    <xf numFmtId="9" fontId="0" fillId="7" borderId="1" xfId="3" applyNumberFormat="1" applyFont="1" applyFill="1" applyBorder="1"/>
    <xf numFmtId="172" fontId="0" fillId="7" borderId="1" xfId="3" applyNumberFormat="1" applyFont="1" applyFill="1" applyBorder="1"/>
    <xf numFmtId="0" fontId="15" fillId="2" borderId="1" xfId="0" applyFont="1" applyFill="1" applyBorder="1" applyAlignment="1">
      <alignment horizontal="center"/>
    </xf>
    <xf numFmtId="165" fontId="15" fillId="2" borderId="1" xfId="0" applyNumberFormat="1" applyFont="1" applyFill="1" applyBorder="1" applyAlignment="1">
      <alignment horizontal="center"/>
    </xf>
    <xf numFmtId="171" fontId="15" fillId="2" borderId="1" xfId="0" applyNumberFormat="1" applyFont="1" applyFill="1" applyBorder="1" applyAlignment="1">
      <alignment horizontal="center"/>
    </xf>
    <xf numFmtId="172" fontId="16" fillId="0" borderId="1" xfId="4" applyNumberFormat="1" applyBorder="1" applyProtection="1">
      <protection hidden="1"/>
    </xf>
    <xf numFmtId="172" fontId="16" fillId="0" borderId="1" xfId="4" quotePrefix="1" applyNumberFormat="1" applyBorder="1" applyAlignment="1" applyProtection="1">
      <protection hidden="1"/>
    </xf>
    <xf numFmtId="172" fontId="16" fillId="0" borderId="1" xfId="4" applyNumberFormat="1" applyBorder="1" applyAlignment="1" applyProtection="1">
      <protection hidden="1"/>
    </xf>
    <xf numFmtId="172" fontId="16" fillId="0" borderId="1" xfId="4" applyNumberFormat="1" applyFont="1" applyBorder="1" applyAlignment="1" applyProtection="1">
      <protection hidden="1"/>
    </xf>
    <xf numFmtId="172" fontId="15" fillId="0" borderId="1" xfId="4" applyNumberFormat="1" applyFont="1" applyBorder="1" applyAlignment="1" applyProtection="1">
      <protection hidden="1"/>
    </xf>
    <xf numFmtId="172" fontId="15" fillId="0" borderId="1" xfId="4" quotePrefix="1" applyNumberFormat="1" applyFont="1" applyBorder="1" applyAlignment="1" applyProtection="1">
      <protection hidden="1"/>
    </xf>
    <xf numFmtId="172" fontId="16" fillId="0" borderId="1" xfId="4" applyNumberFormat="1" applyBorder="1" applyAlignment="1" applyProtection="1">
      <alignment horizontal="left"/>
      <protection hidden="1"/>
    </xf>
    <xf numFmtId="172" fontId="16" fillId="0" borderId="1" xfId="4" applyNumberFormat="1" applyFont="1" applyBorder="1" applyAlignment="1" applyProtection="1">
      <alignment horizontal="left" indent="1"/>
      <protection hidden="1"/>
    </xf>
    <xf numFmtId="172" fontId="16" fillId="0" borderId="1" xfId="4" quotePrefix="1" applyNumberFormat="1" applyFont="1" applyBorder="1" applyAlignment="1" applyProtection="1">
      <alignment horizontal="left" indent="1"/>
      <protection hidden="1"/>
    </xf>
    <xf numFmtId="172" fontId="24" fillId="2" borderId="1" xfId="4" applyNumberFormat="1" applyFont="1" applyFill="1" applyBorder="1" applyProtection="1">
      <protection hidden="1"/>
    </xf>
    <xf numFmtId="172" fontId="15" fillId="2" borderId="1" xfId="4" applyNumberFormat="1" applyFont="1" applyFill="1" applyBorder="1" applyProtection="1">
      <protection hidden="1"/>
    </xf>
    <xf numFmtId="165" fontId="16" fillId="0" borderId="1" xfId="4" applyNumberFormat="1" applyBorder="1" applyAlignment="1" applyProtection="1">
      <alignment horizontal="center"/>
      <protection hidden="1"/>
    </xf>
    <xf numFmtId="165" fontId="16" fillId="0" borderId="1" xfId="4" applyNumberFormat="1" applyFont="1" applyFill="1" applyBorder="1" applyAlignment="1" applyProtection="1">
      <alignment horizontal="center"/>
      <protection hidden="1"/>
    </xf>
    <xf numFmtId="165" fontId="15" fillId="0" borderId="1" xfId="4" applyNumberFormat="1" applyFont="1" applyBorder="1" applyAlignment="1" applyProtection="1">
      <alignment horizontal="center"/>
      <protection hidden="1"/>
    </xf>
    <xf numFmtId="165" fontId="31" fillId="2" borderId="1" xfId="0" applyNumberFormat="1" applyFont="1" applyFill="1" applyBorder="1" applyAlignment="1" applyProtection="1">
      <alignment horizontal="center"/>
      <protection hidden="1"/>
    </xf>
    <xf numFmtId="165" fontId="15" fillId="2" borderId="1" xfId="4" applyNumberFormat="1" applyFont="1" applyFill="1" applyBorder="1" applyAlignment="1" applyProtection="1">
      <alignment horizontal="center"/>
      <protection hidden="1"/>
    </xf>
    <xf numFmtId="165" fontId="16" fillId="0" borderId="1" xfId="5" applyNumberFormat="1" applyBorder="1" applyAlignment="1" applyProtection="1">
      <alignment horizontal="center"/>
      <protection hidden="1"/>
    </xf>
    <xf numFmtId="172" fontId="15" fillId="7" borderId="1" xfId="4" applyNumberFormat="1" applyFont="1" applyFill="1" applyBorder="1" applyAlignment="1" applyProtection="1">
      <protection hidden="1"/>
    </xf>
    <xf numFmtId="165" fontId="15" fillId="7" borderId="1" xfId="4" applyNumberFormat="1" applyFont="1" applyFill="1" applyBorder="1" applyAlignment="1" applyProtection="1">
      <alignment horizontal="center"/>
      <protection hidden="1"/>
    </xf>
    <xf numFmtId="172" fontId="15" fillId="7" borderId="1" xfId="4" applyNumberFormat="1" applyFont="1" applyFill="1" applyBorder="1" applyProtection="1">
      <protection hidden="1"/>
    </xf>
    <xf numFmtId="172" fontId="15" fillId="2" borderId="1" xfId="4" applyNumberFormat="1" applyFont="1" applyFill="1" applyBorder="1" applyAlignment="1" applyProtection="1">
      <alignment horizontal="left"/>
      <protection hidden="1"/>
    </xf>
    <xf numFmtId="172" fontId="16" fillId="0" borderId="1" xfId="4" applyNumberFormat="1" applyFont="1" applyBorder="1" applyAlignment="1" applyProtection="1">
      <alignment horizontal="left"/>
      <protection hidden="1"/>
    </xf>
    <xf numFmtId="0" fontId="23" fillId="0" borderId="0" xfId="0" applyFont="1"/>
    <xf numFmtId="0" fontId="34" fillId="2" borderId="1" xfId="0" applyFont="1" applyFill="1" applyBorder="1" applyAlignment="1">
      <alignment horizontal="center"/>
    </xf>
    <xf numFmtId="165" fontId="34" fillId="2" borderId="1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left"/>
    </xf>
    <xf numFmtId="0" fontId="35" fillId="5" borderId="1" xfId="0" applyFont="1" applyFill="1" applyBorder="1"/>
    <xf numFmtId="165" fontId="23" fillId="0" borderId="1" xfId="1" applyNumberFormat="1" applyFont="1" applyBorder="1"/>
    <xf numFmtId="0" fontId="36" fillId="2" borderId="1" xfId="0" applyFont="1" applyFill="1" applyBorder="1"/>
    <xf numFmtId="44" fontId="36" fillId="2" borderId="1" xfId="1" applyFont="1" applyFill="1" applyBorder="1" applyAlignment="1">
      <alignment horizontal="center"/>
    </xf>
    <xf numFmtId="165" fontId="23" fillId="0" borderId="1" xfId="0" applyNumberFormat="1" applyFont="1" applyBorder="1"/>
    <xf numFmtId="165" fontId="23" fillId="2" borderId="1" xfId="0" applyNumberFormat="1" applyFont="1" applyFill="1" applyBorder="1"/>
    <xf numFmtId="165" fontId="23" fillId="0" borderId="0" xfId="0" applyNumberFormat="1" applyFont="1"/>
    <xf numFmtId="0" fontId="33" fillId="4" borderId="1" xfId="0" applyFont="1" applyFill="1" applyBorder="1" applyAlignment="1">
      <alignment horizontal="center"/>
    </xf>
    <xf numFmtId="0" fontId="33" fillId="4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9" fillId="2" borderId="10" xfId="0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left" vertical="center"/>
    </xf>
    <xf numFmtId="0" fontId="22" fillId="7" borderId="1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center" wrapText="1"/>
    </xf>
    <xf numFmtId="0" fontId="22" fillId="7" borderId="8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/>
    </xf>
    <xf numFmtId="0" fontId="22" fillId="7" borderId="7" xfId="0" applyFont="1" applyFill="1" applyBorder="1" applyAlignment="1">
      <alignment horizontal="center"/>
    </xf>
    <xf numFmtId="0" fontId="22" fillId="7" borderId="6" xfId="0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10" fillId="2" borderId="1" xfId="0" applyNumberFormat="1" applyFont="1" applyFill="1" applyBorder="1" applyAlignment="1">
      <alignment horizontal="center"/>
    </xf>
    <xf numFmtId="165" fontId="21" fillId="2" borderId="5" xfId="0" applyNumberFormat="1" applyFont="1" applyFill="1" applyBorder="1" applyAlignment="1">
      <alignment horizontal="center"/>
    </xf>
    <xf numFmtId="165" fontId="21" fillId="2" borderId="7" xfId="0" applyNumberFormat="1" applyFont="1" applyFill="1" applyBorder="1" applyAlignment="1">
      <alignment horizontal="center"/>
    </xf>
    <xf numFmtId="165" fontId="21" fillId="2" borderId="6" xfId="0" applyNumberFormat="1" applyFont="1" applyFill="1" applyBorder="1" applyAlignment="1">
      <alignment horizontal="center"/>
    </xf>
    <xf numFmtId="165" fontId="21" fillId="2" borderId="8" xfId="0" applyNumberFormat="1" applyFont="1" applyFill="1" applyBorder="1" applyAlignment="1">
      <alignment horizontal="center"/>
    </xf>
    <xf numFmtId="165" fontId="21" fillId="2" borderId="9" xfId="0" applyNumberFormat="1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 applyProtection="1">
      <alignment horizontal="left" vertical="center" wrapText="1"/>
      <protection locked="0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2" fillId="7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/>
    </xf>
    <xf numFmtId="0" fontId="13" fillId="7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4" fillId="7" borderId="1" xfId="0" applyFont="1" applyFill="1" applyBorder="1" applyAlignment="1">
      <alignment horizontal="center" wrapText="1"/>
    </xf>
    <xf numFmtId="0" fontId="25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left"/>
    </xf>
    <xf numFmtId="0" fontId="24" fillId="2" borderId="5" xfId="0" applyFont="1" applyFill="1" applyBorder="1" applyAlignment="1">
      <alignment horizontal="left"/>
    </xf>
    <xf numFmtId="0" fontId="24" fillId="2" borderId="7" xfId="0" applyFont="1" applyFill="1" applyBorder="1" applyAlignment="1">
      <alignment horizontal="left"/>
    </xf>
    <xf numFmtId="0" fontId="24" fillId="2" borderId="6" xfId="0" applyFont="1" applyFill="1" applyBorder="1" applyAlignment="1">
      <alignment horizontal="left"/>
    </xf>
    <xf numFmtId="0" fontId="24" fillId="2" borderId="6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167" fontId="22" fillId="2" borderId="1" xfId="0" applyNumberFormat="1" applyFont="1" applyFill="1" applyBorder="1" applyAlignment="1">
      <alignment horizontal="center" vertical="center" wrapText="1"/>
    </xf>
    <xf numFmtId="168" fontId="22" fillId="2" borderId="1" xfId="0" applyNumberFormat="1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168" fontId="22" fillId="2" borderId="9" xfId="0" applyNumberFormat="1" applyFont="1" applyFill="1" applyBorder="1" applyAlignment="1">
      <alignment horizontal="center" vertical="center" wrapText="1"/>
    </xf>
    <xf numFmtId="167" fontId="22" fillId="2" borderId="9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30" fillId="2" borderId="5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9" fillId="7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29" fillId="2" borderId="8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wrapText="1"/>
    </xf>
    <xf numFmtId="0" fontId="30" fillId="2" borderId="9" xfId="0" applyFont="1" applyFill="1" applyBorder="1" applyAlignment="1">
      <alignment horizont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172" fontId="25" fillId="2" borderId="8" xfId="4" applyNumberFormat="1" applyFont="1" applyFill="1" applyBorder="1" applyAlignment="1" applyProtection="1">
      <alignment horizontal="center" vertical="center"/>
      <protection hidden="1"/>
    </xf>
    <xf numFmtId="172" fontId="25" fillId="2" borderId="9" xfId="4" applyNumberFormat="1" applyFont="1" applyFill="1" applyBorder="1" applyAlignment="1" applyProtection="1">
      <alignment horizontal="center" vertical="center"/>
      <protection hidden="1"/>
    </xf>
    <xf numFmtId="0" fontId="24" fillId="2" borderId="8" xfId="0" applyNumberFormat="1" applyFont="1" applyFill="1" applyBorder="1" applyAlignment="1" applyProtection="1">
      <alignment horizontal="center" vertical="center"/>
      <protection hidden="1"/>
    </xf>
    <xf numFmtId="0" fontId="24" fillId="2" borderId="19" xfId="0" applyNumberFormat="1" applyFont="1" applyFill="1" applyBorder="1" applyAlignment="1" applyProtection="1">
      <alignment horizontal="center" vertical="center"/>
      <protection hidden="1"/>
    </xf>
    <xf numFmtId="0" fontId="24" fillId="2" borderId="9" xfId="0" applyNumberFormat="1" applyFont="1" applyFill="1" applyBorder="1" applyAlignment="1" applyProtection="1">
      <alignment horizontal="center" vertical="center"/>
      <protection hidden="1"/>
    </xf>
  </cellXfs>
  <cellStyles count="6">
    <cellStyle name="Millares" xfId="3" builtinId="3"/>
    <cellStyle name="Millares [0]_Modelo Financiero ACME Final" xfId="5"/>
    <cellStyle name="Millares_Modelo Financiero ACME Final" xfId="4"/>
    <cellStyle name="Moneda" xfId="1" builtinId="4"/>
    <cellStyle name="Normal" xfId="0" builtinId="0"/>
    <cellStyle name="Porcentaje" xfId="2" builtinId="5"/>
  </cellStyles>
  <dxfs count="4">
    <dxf>
      <font>
        <condense val="0"/>
        <extend val="0"/>
        <color indexed="9"/>
      </font>
      <fill>
        <patternFill>
          <bgColor indexed="51"/>
        </patternFill>
      </fill>
    </dxf>
    <dxf>
      <font>
        <condense val="0"/>
        <extend val="0"/>
        <color indexed="9"/>
      </font>
      <fill>
        <patternFill>
          <bgColor indexed="51"/>
        </patternFill>
      </fill>
    </dxf>
    <dxf>
      <font>
        <condense val="0"/>
        <extend val="0"/>
        <color indexed="9"/>
      </font>
      <fill>
        <patternFill>
          <bgColor indexed="51"/>
        </patternFill>
      </fill>
    </dxf>
    <dxf>
      <font>
        <condense val="0"/>
        <extend val="0"/>
        <color indexed="9"/>
      </font>
      <fill>
        <patternFill>
          <bgColor indexed="51"/>
        </patternFill>
      </fill>
    </dxf>
  </dxfs>
  <tableStyles count="0" defaultTableStyle="TableStyleMedium2" defaultPivotStyle="PivotStyleLight16"/>
  <colors>
    <mruColors>
      <color rgb="FFB613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APITAL DE TRABAJO '!A1"/><Relationship Id="rId3" Type="http://schemas.openxmlformats.org/officeDocument/2006/relationships/hyperlink" Target="#'PLAN DE INVERSION'!A1"/><Relationship Id="rId7" Type="http://schemas.openxmlformats.org/officeDocument/2006/relationships/hyperlink" Target="#'COS PRODU Y GASTOS ADMON'!A1"/><Relationship Id="rId12" Type="http://schemas.openxmlformats.org/officeDocument/2006/relationships/hyperlink" Target="#'BALANCE GENRAL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DEPRECIACION!A1"/><Relationship Id="rId11" Type="http://schemas.openxmlformats.org/officeDocument/2006/relationships/hyperlink" Target="#'ESTADO DE RESULTADOS'!A1"/><Relationship Id="rId5" Type="http://schemas.openxmlformats.org/officeDocument/2006/relationships/hyperlink" Target="#'GASTOS DE PERSONAL'!A1"/><Relationship Id="rId10" Type="http://schemas.openxmlformats.org/officeDocument/2006/relationships/hyperlink" Target="#'PTO EQU PREC VTA'!A1"/><Relationship Id="rId4" Type="http://schemas.openxmlformats.org/officeDocument/2006/relationships/hyperlink" Target="#'GASTOS PREVIOS A LA PRODUCCION'!A1"/><Relationship Id="rId9" Type="http://schemas.openxmlformats.org/officeDocument/2006/relationships/hyperlink" Target="#PROYECCION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INICIO 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INICIO 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INICIO 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INICIO 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INICIO 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INICIO 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INICIO 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INICIO 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INICIO 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INICIO 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INICIO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1</xdr:row>
      <xdr:rowOff>180975</xdr:rowOff>
    </xdr:from>
    <xdr:to>
      <xdr:col>0</xdr:col>
      <xdr:colOff>3121453</xdr:colOff>
      <xdr:row>8</xdr:row>
      <xdr:rowOff>68036</xdr:rowOff>
    </xdr:to>
    <xdr:pic>
      <xdr:nvPicPr>
        <xdr:cNvPr id="15" name="1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85082"/>
          <a:ext cx="2330878" cy="1315811"/>
        </a:xfrm>
        <a:prstGeom prst="rect">
          <a:avLst/>
        </a:prstGeom>
        <a:solidFill>
          <a:srgbClr val="FFFF00">
            <a:alpha val="96000"/>
          </a:srgbClr>
        </a:solidFill>
        <a:effectLst>
          <a:outerShdw blurRad="63500" dist="50800" dir="5400000" algn="ctr" rotWithShape="0">
            <a:schemeClr val="bg1">
              <a:lumMod val="85000"/>
            </a:schemeClr>
          </a:outerShdw>
          <a:reflection blurRad="6350" stA="52000" endA="300" endPos="35000" dir="5400000" sy="-100000" algn="bl" rotWithShape="0"/>
        </a:effectLst>
      </xdr:spPr>
    </xdr:pic>
    <xdr:clientData/>
  </xdr:twoCellAnchor>
  <xdr:twoCellAnchor editAs="oneCell">
    <xdr:from>
      <xdr:col>0</xdr:col>
      <xdr:colOff>7429500</xdr:colOff>
      <xdr:row>1</xdr:row>
      <xdr:rowOff>200024</xdr:rowOff>
    </xdr:from>
    <xdr:to>
      <xdr:col>0</xdr:col>
      <xdr:colOff>11210925</xdr:colOff>
      <xdr:row>8</xdr:row>
      <xdr:rowOff>122463</xdr:rowOff>
    </xdr:to>
    <xdr:pic>
      <xdr:nvPicPr>
        <xdr:cNvPr id="16" name="15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04131"/>
          <a:ext cx="3781425" cy="13511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194582</xdr:colOff>
      <xdr:row>12</xdr:row>
      <xdr:rowOff>74839</xdr:rowOff>
    </xdr:from>
    <xdr:to>
      <xdr:col>0</xdr:col>
      <xdr:colOff>2232932</xdr:colOff>
      <xdr:row>19</xdr:row>
      <xdr:rowOff>74839</xdr:rowOff>
    </xdr:to>
    <xdr:grpSp>
      <xdr:nvGrpSpPr>
        <xdr:cNvPr id="11" name="10 Grupo"/>
        <xdr:cNvGrpSpPr/>
      </xdr:nvGrpSpPr>
      <xdr:grpSpPr>
        <a:xfrm>
          <a:off x="194582" y="2524125"/>
          <a:ext cx="2038350" cy="1428750"/>
          <a:chOff x="180975" y="1933575"/>
          <a:chExt cx="2038350" cy="1466850"/>
        </a:xfrm>
      </xdr:grpSpPr>
      <xdr:sp macro="" textlink="">
        <xdr:nvSpPr>
          <xdr:cNvPr id="7" name="6 Pentágono">
            <a:hlinkClick xmlns:r="http://schemas.openxmlformats.org/officeDocument/2006/relationships" r:id="rId3"/>
          </xdr:cNvPr>
          <xdr:cNvSpPr/>
        </xdr:nvSpPr>
        <xdr:spPr>
          <a:xfrm>
            <a:off x="180975" y="1933575"/>
            <a:ext cx="2038350" cy="1466850"/>
          </a:xfrm>
          <a:prstGeom prst="homePlate">
            <a:avLst/>
          </a:prstGeom>
          <a:solidFill>
            <a:srgbClr val="B61306">
              <a:alpha val="43000"/>
            </a:srgb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2" name="1 Rectángulo"/>
          <xdr:cNvSpPr/>
        </xdr:nvSpPr>
        <xdr:spPr>
          <a:xfrm>
            <a:off x="275951" y="2322010"/>
            <a:ext cx="1429301" cy="65594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soft" dir="t">
                <a:rot lat="0" lon="0" rev="10800000"/>
              </a:lightRig>
            </a:scene3d>
            <a:sp3d>
              <a:bevelT w="27940" h="12700"/>
              <a:contourClr>
                <a:srgbClr val="DDDDDD"/>
              </a:contourClr>
            </a:sp3d>
          </a:bodyPr>
          <a:lstStyle/>
          <a:p>
            <a:pPr algn="ctr"/>
            <a:r>
              <a:rPr lang="es-ES" sz="18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PLAN DE </a:t>
            </a:r>
          </a:p>
          <a:p>
            <a:pPr algn="ctr"/>
            <a:r>
              <a:rPr lang="es-ES" sz="18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INVERSION</a:t>
            </a:r>
          </a:p>
        </xdr:txBody>
      </xdr:sp>
    </xdr:grpSp>
    <xdr:clientData/>
  </xdr:twoCellAnchor>
  <xdr:twoCellAnchor>
    <xdr:from>
      <xdr:col>0</xdr:col>
      <xdr:colOff>2324100</xdr:colOff>
      <xdr:row>12</xdr:row>
      <xdr:rowOff>65313</xdr:rowOff>
    </xdr:from>
    <xdr:to>
      <xdr:col>0</xdr:col>
      <xdr:colOff>4362450</xdr:colOff>
      <xdr:row>19</xdr:row>
      <xdr:rowOff>65313</xdr:rowOff>
    </xdr:to>
    <xdr:grpSp>
      <xdr:nvGrpSpPr>
        <xdr:cNvPr id="4" name="3 Grupo">
          <a:hlinkClick xmlns:r="http://schemas.openxmlformats.org/officeDocument/2006/relationships" r:id="rId4"/>
        </xdr:cNvPr>
        <xdr:cNvGrpSpPr/>
      </xdr:nvGrpSpPr>
      <xdr:grpSpPr>
        <a:xfrm>
          <a:off x="2324100" y="2514599"/>
          <a:ext cx="2038350" cy="1428750"/>
          <a:chOff x="6877050" y="2238375"/>
          <a:chExt cx="2038350" cy="1466850"/>
        </a:xfrm>
      </xdr:grpSpPr>
      <xdr:sp macro="" textlink="">
        <xdr:nvSpPr>
          <xdr:cNvPr id="9" name="8 Pentágono"/>
          <xdr:cNvSpPr/>
        </xdr:nvSpPr>
        <xdr:spPr>
          <a:xfrm>
            <a:off x="6877050" y="2238375"/>
            <a:ext cx="2038350" cy="1466850"/>
          </a:xfrm>
          <a:prstGeom prst="homePlate">
            <a:avLst/>
          </a:prstGeom>
          <a:solidFill>
            <a:srgbClr val="B61306">
              <a:alpha val="43000"/>
            </a:srgb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17" name="16 Rectángulo"/>
          <xdr:cNvSpPr/>
        </xdr:nvSpPr>
        <xdr:spPr>
          <a:xfrm>
            <a:off x="6878367" y="2626810"/>
            <a:ext cx="1673792" cy="74988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soft" dir="t">
                <a:rot lat="0" lon="0" rev="10800000"/>
              </a:lightRig>
            </a:scene3d>
            <a:sp3d>
              <a:bevelT w="27940" h="12700"/>
              <a:contourClr>
                <a:srgbClr val="DDDDDD"/>
              </a:contourClr>
            </a:sp3d>
          </a:bodyPr>
          <a:lstStyle/>
          <a:p>
            <a:pPr algn="ctr"/>
            <a:r>
              <a:rPr lang="es-ES" sz="12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GASTOS PEVIOS </a:t>
            </a:r>
          </a:p>
          <a:p>
            <a:pPr algn="ctr"/>
            <a:r>
              <a:rPr lang="es-ES" sz="12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A LA PRODUCCION</a:t>
            </a:r>
          </a:p>
          <a:p>
            <a:pPr algn="ctr"/>
            <a:endParaRPr lang="es-ES" sz="1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0</xdr:col>
      <xdr:colOff>4512974</xdr:colOff>
      <xdr:row>9</xdr:row>
      <xdr:rowOff>47625</xdr:rowOff>
    </xdr:from>
    <xdr:to>
      <xdr:col>0</xdr:col>
      <xdr:colOff>6581775</xdr:colOff>
      <xdr:row>16</xdr:row>
      <xdr:rowOff>47625</xdr:rowOff>
    </xdr:to>
    <xdr:grpSp>
      <xdr:nvGrpSpPr>
        <xdr:cNvPr id="6" name="5 Grupo"/>
        <xdr:cNvGrpSpPr/>
      </xdr:nvGrpSpPr>
      <xdr:grpSpPr>
        <a:xfrm>
          <a:off x="4512974" y="1884589"/>
          <a:ext cx="2068801" cy="1428750"/>
          <a:chOff x="160049" y="3790950"/>
          <a:chExt cx="2068801" cy="1466850"/>
        </a:xfrm>
      </xdr:grpSpPr>
      <xdr:sp macro="" textlink="">
        <xdr:nvSpPr>
          <xdr:cNvPr id="13" name="12 Pentágono">
            <a:hlinkClick xmlns:r="http://schemas.openxmlformats.org/officeDocument/2006/relationships" r:id="rId5"/>
          </xdr:cNvPr>
          <xdr:cNvSpPr/>
        </xdr:nvSpPr>
        <xdr:spPr>
          <a:xfrm>
            <a:off x="190500" y="3790950"/>
            <a:ext cx="2038350" cy="1466850"/>
          </a:xfrm>
          <a:prstGeom prst="homePlate">
            <a:avLst/>
          </a:prstGeom>
          <a:solidFill>
            <a:srgbClr val="B61306">
              <a:alpha val="43000"/>
            </a:srgb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18" name="17 Rectángulo"/>
          <xdr:cNvSpPr/>
        </xdr:nvSpPr>
        <xdr:spPr>
          <a:xfrm>
            <a:off x="160049" y="4236535"/>
            <a:ext cx="1726691" cy="655949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soft" dir="t">
                <a:rot lat="0" lon="0" rev="10800000"/>
              </a:lightRig>
            </a:scene3d>
            <a:sp3d>
              <a:bevelT w="27940" h="12700"/>
              <a:contourClr>
                <a:srgbClr val="DDDDDD"/>
              </a:contourClr>
            </a:sp3d>
          </a:bodyPr>
          <a:lstStyle/>
          <a:p>
            <a:pPr algn="ctr"/>
            <a:r>
              <a:rPr lang="es-ES" sz="18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GASTOS</a:t>
            </a:r>
            <a:r>
              <a:rPr lang="es-ES" sz="1800" b="1" cap="none" spc="150" baseline="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 </a:t>
            </a:r>
          </a:p>
          <a:p>
            <a:pPr algn="ctr"/>
            <a:r>
              <a:rPr lang="es-ES" sz="1800" b="1" cap="none" spc="150" baseline="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DE PERSONAL</a:t>
            </a:r>
            <a:endParaRPr lang="es-ES" sz="1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0</xdr:col>
      <xdr:colOff>6732393</xdr:colOff>
      <xdr:row>12</xdr:row>
      <xdr:rowOff>28575</xdr:rowOff>
    </xdr:from>
    <xdr:to>
      <xdr:col>0</xdr:col>
      <xdr:colOff>8836478</xdr:colOff>
      <xdr:row>19</xdr:row>
      <xdr:rowOff>28575</xdr:rowOff>
    </xdr:to>
    <xdr:grpSp>
      <xdr:nvGrpSpPr>
        <xdr:cNvPr id="8" name="7 Grupo">
          <a:hlinkClick xmlns:r="http://schemas.openxmlformats.org/officeDocument/2006/relationships" r:id="rId6"/>
        </xdr:cNvPr>
        <xdr:cNvGrpSpPr/>
      </xdr:nvGrpSpPr>
      <xdr:grpSpPr>
        <a:xfrm>
          <a:off x="6732393" y="2477861"/>
          <a:ext cx="2104085" cy="1428750"/>
          <a:chOff x="4792015" y="3886200"/>
          <a:chExt cx="2104085" cy="1466850"/>
        </a:xfrm>
      </xdr:grpSpPr>
      <xdr:sp macro="" textlink="">
        <xdr:nvSpPr>
          <xdr:cNvPr id="3" name="2 Pentágono"/>
          <xdr:cNvSpPr/>
        </xdr:nvSpPr>
        <xdr:spPr>
          <a:xfrm>
            <a:off x="4857750" y="3886200"/>
            <a:ext cx="2038350" cy="1466850"/>
          </a:xfrm>
          <a:prstGeom prst="homePlate">
            <a:avLst/>
          </a:prstGeom>
          <a:solidFill>
            <a:srgbClr val="B61306">
              <a:alpha val="43000"/>
            </a:srgb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19" name="18 Rectángulo"/>
          <xdr:cNvSpPr/>
        </xdr:nvSpPr>
        <xdr:spPr>
          <a:xfrm>
            <a:off x="4792015" y="4455610"/>
            <a:ext cx="1854418" cy="374141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soft" dir="t">
                <a:rot lat="0" lon="0" rev="10800000"/>
              </a:lightRig>
            </a:scene3d>
            <a:sp3d>
              <a:bevelT w="27940" h="12700"/>
              <a:contourClr>
                <a:srgbClr val="DDDDDD"/>
              </a:contourClr>
            </a:sp3d>
          </a:bodyPr>
          <a:lstStyle/>
          <a:p>
            <a:pPr algn="ctr"/>
            <a:r>
              <a:rPr lang="es-ES" sz="18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DEPRECIACION</a:t>
            </a:r>
          </a:p>
        </xdr:txBody>
      </xdr:sp>
    </xdr:grpSp>
    <xdr:clientData/>
  </xdr:twoCellAnchor>
  <xdr:twoCellAnchor>
    <xdr:from>
      <xdr:col>0</xdr:col>
      <xdr:colOff>8999764</xdr:colOff>
      <xdr:row>11</xdr:row>
      <xdr:rowOff>174171</xdr:rowOff>
    </xdr:from>
    <xdr:to>
      <xdr:col>0</xdr:col>
      <xdr:colOff>11038114</xdr:colOff>
      <xdr:row>18</xdr:row>
      <xdr:rowOff>174171</xdr:rowOff>
    </xdr:to>
    <xdr:grpSp>
      <xdr:nvGrpSpPr>
        <xdr:cNvPr id="10" name="9 Grupo"/>
        <xdr:cNvGrpSpPr/>
      </xdr:nvGrpSpPr>
      <xdr:grpSpPr>
        <a:xfrm>
          <a:off x="8999764" y="2419350"/>
          <a:ext cx="2038350" cy="1428750"/>
          <a:chOff x="9334500" y="3867150"/>
          <a:chExt cx="2038350" cy="1466850"/>
        </a:xfrm>
      </xdr:grpSpPr>
      <xdr:sp macro="" textlink="">
        <xdr:nvSpPr>
          <xdr:cNvPr id="5" name="4 Pentágono">
            <a:hlinkClick xmlns:r="http://schemas.openxmlformats.org/officeDocument/2006/relationships" r:id="rId7"/>
          </xdr:cNvPr>
          <xdr:cNvSpPr/>
        </xdr:nvSpPr>
        <xdr:spPr>
          <a:xfrm>
            <a:off x="9334500" y="3867150"/>
            <a:ext cx="2038350" cy="1466850"/>
          </a:xfrm>
          <a:prstGeom prst="homePlate">
            <a:avLst/>
          </a:prstGeom>
          <a:solidFill>
            <a:srgbClr val="B61306">
              <a:alpha val="43000"/>
            </a:srgb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20" name="19 Rectángulo"/>
          <xdr:cNvSpPr/>
        </xdr:nvSpPr>
        <xdr:spPr>
          <a:xfrm>
            <a:off x="9359529" y="4141285"/>
            <a:ext cx="1672894" cy="843821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soft" dir="t">
                <a:rot lat="0" lon="0" rev="10800000"/>
              </a:lightRig>
            </a:scene3d>
            <a:sp3d>
              <a:bevelT w="27940" h="12700"/>
              <a:contourClr>
                <a:srgbClr val="DDDDDD"/>
              </a:contourClr>
            </a:sp3d>
          </a:bodyPr>
          <a:lstStyle/>
          <a:p>
            <a:pPr algn="ctr"/>
            <a:r>
              <a:rPr lang="es-ES" sz="12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COSTOS DE </a:t>
            </a:r>
          </a:p>
          <a:p>
            <a:pPr algn="ctr"/>
            <a:r>
              <a:rPr lang="es-ES" sz="12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PRODUCCION</a:t>
            </a:r>
            <a:r>
              <a:rPr lang="es-ES" sz="1200" b="1" cap="none" spc="150" baseline="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 </a:t>
            </a:r>
          </a:p>
          <a:p>
            <a:pPr algn="ctr"/>
            <a:r>
              <a:rPr lang="es-ES" sz="1200" b="1" cap="none" spc="150" baseline="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Y GASTOS DE</a:t>
            </a:r>
          </a:p>
          <a:p>
            <a:pPr algn="ctr"/>
            <a:r>
              <a:rPr lang="es-ES" sz="1200" b="1" cap="none" spc="150" baseline="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 ADMINISTRACION</a:t>
            </a:r>
            <a:endParaRPr lang="es-ES" sz="12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0</xdr:col>
      <xdr:colOff>112514</xdr:colOff>
      <xdr:row>23</xdr:row>
      <xdr:rowOff>50347</xdr:rowOff>
    </xdr:from>
    <xdr:to>
      <xdr:col>0</xdr:col>
      <xdr:colOff>2237014</xdr:colOff>
      <xdr:row>30</xdr:row>
      <xdr:rowOff>50347</xdr:rowOff>
    </xdr:to>
    <xdr:grpSp>
      <xdr:nvGrpSpPr>
        <xdr:cNvPr id="21" name="20 Grupo">
          <a:hlinkClick xmlns:r="http://schemas.openxmlformats.org/officeDocument/2006/relationships" r:id="rId8"/>
        </xdr:cNvPr>
        <xdr:cNvGrpSpPr/>
      </xdr:nvGrpSpPr>
      <xdr:grpSpPr>
        <a:xfrm>
          <a:off x="112514" y="4744811"/>
          <a:ext cx="2124500" cy="1428750"/>
          <a:chOff x="9248350" y="3867150"/>
          <a:chExt cx="2124500" cy="1466850"/>
        </a:xfrm>
      </xdr:grpSpPr>
      <xdr:sp macro="" textlink="">
        <xdr:nvSpPr>
          <xdr:cNvPr id="22" name="21 Pentágono"/>
          <xdr:cNvSpPr/>
        </xdr:nvSpPr>
        <xdr:spPr>
          <a:xfrm>
            <a:off x="9334500" y="3867150"/>
            <a:ext cx="2038350" cy="1466850"/>
          </a:xfrm>
          <a:prstGeom prst="homePlate">
            <a:avLst/>
          </a:prstGeom>
          <a:solidFill>
            <a:srgbClr val="B61306">
              <a:alpha val="43000"/>
            </a:srgb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23" name="22 Rectángulo"/>
          <xdr:cNvSpPr/>
        </xdr:nvSpPr>
        <xdr:spPr>
          <a:xfrm>
            <a:off x="9248350" y="4446085"/>
            <a:ext cx="1895262" cy="28020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soft" dir="t">
                <a:rot lat="0" lon="0" rev="10800000"/>
              </a:lightRig>
            </a:scene3d>
            <a:sp3d>
              <a:bevelT w="27940" h="12700"/>
              <a:contourClr>
                <a:srgbClr val="DDDDDD"/>
              </a:contourClr>
            </a:sp3d>
          </a:bodyPr>
          <a:lstStyle/>
          <a:p>
            <a:pPr algn="ctr"/>
            <a:r>
              <a:rPr lang="es-ES" sz="12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CAPITAL DE TRABAJO</a:t>
            </a:r>
          </a:p>
        </xdr:txBody>
      </xdr:sp>
    </xdr:grpSp>
    <xdr:clientData/>
  </xdr:twoCellAnchor>
  <xdr:twoCellAnchor>
    <xdr:from>
      <xdr:col>0</xdr:col>
      <xdr:colOff>4562475</xdr:colOff>
      <xdr:row>17</xdr:row>
      <xdr:rowOff>133350</xdr:rowOff>
    </xdr:from>
    <xdr:to>
      <xdr:col>0</xdr:col>
      <xdr:colOff>6600825</xdr:colOff>
      <xdr:row>24</xdr:row>
      <xdr:rowOff>133350</xdr:rowOff>
    </xdr:to>
    <xdr:grpSp>
      <xdr:nvGrpSpPr>
        <xdr:cNvPr id="24" name="23 Grupo">
          <a:hlinkClick xmlns:r="http://schemas.openxmlformats.org/officeDocument/2006/relationships" r:id="rId9"/>
        </xdr:cNvPr>
        <xdr:cNvGrpSpPr/>
      </xdr:nvGrpSpPr>
      <xdr:grpSpPr>
        <a:xfrm>
          <a:off x="4562475" y="3603171"/>
          <a:ext cx="2038350" cy="1428750"/>
          <a:chOff x="9334500" y="3867150"/>
          <a:chExt cx="2038350" cy="1466850"/>
        </a:xfrm>
      </xdr:grpSpPr>
      <xdr:sp macro="" textlink="">
        <xdr:nvSpPr>
          <xdr:cNvPr id="25" name="24 Pentágono"/>
          <xdr:cNvSpPr/>
        </xdr:nvSpPr>
        <xdr:spPr>
          <a:xfrm>
            <a:off x="9334500" y="3867150"/>
            <a:ext cx="2038350" cy="1466850"/>
          </a:xfrm>
          <a:prstGeom prst="homePlate">
            <a:avLst/>
          </a:prstGeom>
          <a:solidFill>
            <a:srgbClr val="B61306">
              <a:alpha val="43000"/>
            </a:srgb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26" name="25 Rectángulo"/>
          <xdr:cNvSpPr/>
        </xdr:nvSpPr>
        <xdr:spPr>
          <a:xfrm>
            <a:off x="9550885" y="4531810"/>
            <a:ext cx="1213987" cy="28020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soft" dir="t">
                <a:rot lat="0" lon="0" rev="10800000"/>
              </a:lightRig>
            </a:scene3d>
            <a:sp3d>
              <a:bevelT w="27940" h="12700"/>
              <a:contourClr>
                <a:srgbClr val="DDDDDD"/>
              </a:contourClr>
            </a:sp3d>
          </a:bodyPr>
          <a:lstStyle/>
          <a:p>
            <a:pPr algn="ctr"/>
            <a:r>
              <a:rPr lang="es-ES" sz="12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PROYECCION</a:t>
            </a:r>
          </a:p>
        </xdr:txBody>
      </xdr:sp>
    </xdr:grpSp>
    <xdr:clientData/>
  </xdr:twoCellAnchor>
  <xdr:twoCellAnchor>
    <xdr:from>
      <xdr:col>0</xdr:col>
      <xdr:colOff>6817178</xdr:colOff>
      <xdr:row>23</xdr:row>
      <xdr:rowOff>62593</xdr:rowOff>
    </xdr:from>
    <xdr:to>
      <xdr:col>0</xdr:col>
      <xdr:colOff>8855528</xdr:colOff>
      <xdr:row>30</xdr:row>
      <xdr:rowOff>62593</xdr:rowOff>
    </xdr:to>
    <xdr:grpSp>
      <xdr:nvGrpSpPr>
        <xdr:cNvPr id="27" name="26 Grupo">
          <a:hlinkClick xmlns:r="http://schemas.openxmlformats.org/officeDocument/2006/relationships" r:id="rId10"/>
        </xdr:cNvPr>
        <xdr:cNvGrpSpPr/>
      </xdr:nvGrpSpPr>
      <xdr:grpSpPr>
        <a:xfrm>
          <a:off x="6817178" y="4757057"/>
          <a:ext cx="2038350" cy="1428750"/>
          <a:chOff x="9334500" y="3848100"/>
          <a:chExt cx="2038350" cy="1466850"/>
        </a:xfrm>
      </xdr:grpSpPr>
      <xdr:sp macro="" textlink="">
        <xdr:nvSpPr>
          <xdr:cNvPr id="28" name="27 Pentágono"/>
          <xdr:cNvSpPr/>
        </xdr:nvSpPr>
        <xdr:spPr>
          <a:xfrm>
            <a:off x="9334500" y="3848100"/>
            <a:ext cx="2038350" cy="1466850"/>
          </a:xfrm>
          <a:prstGeom prst="homePlate">
            <a:avLst/>
          </a:prstGeom>
          <a:solidFill>
            <a:srgbClr val="B61306">
              <a:alpha val="43000"/>
            </a:srgb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29" name="28 Rectángulo"/>
          <xdr:cNvSpPr/>
        </xdr:nvSpPr>
        <xdr:spPr>
          <a:xfrm>
            <a:off x="9624829" y="4312735"/>
            <a:ext cx="1123256" cy="468077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soft" dir="t">
                <a:rot lat="0" lon="0" rev="10800000"/>
              </a:lightRig>
            </a:scene3d>
            <a:sp3d>
              <a:bevelT w="27940" h="12700"/>
              <a:contourClr>
                <a:srgbClr val="DDDDDD"/>
              </a:contourClr>
            </a:sp3d>
          </a:bodyPr>
          <a:lstStyle/>
          <a:p>
            <a:pPr algn="ctr"/>
            <a:r>
              <a:rPr lang="es-ES" sz="12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PUNTO DE </a:t>
            </a:r>
          </a:p>
          <a:p>
            <a:pPr algn="ctr"/>
            <a:r>
              <a:rPr lang="es-ES" sz="12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EQUILIBRIO</a:t>
            </a:r>
          </a:p>
        </xdr:txBody>
      </xdr:sp>
    </xdr:grpSp>
    <xdr:clientData/>
  </xdr:twoCellAnchor>
  <xdr:twoCellAnchor>
    <xdr:from>
      <xdr:col>0</xdr:col>
      <xdr:colOff>4578803</xdr:colOff>
      <xdr:row>25</xdr:row>
      <xdr:rowOff>190499</xdr:rowOff>
    </xdr:from>
    <xdr:to>
      <xdr:col>0</xdr:col>
      <xdr:colOff>6617153</xdr:colOff>
      <xdr:row>32</xdr:row>
      <xdr:rowOff>167367</xdr:rowOff>
    </xdr:to>
    <xdr:grpSp>
      <xdr:nvGrpSpPr>
        <xdr:cNvPr id="30" name="29 Grupo">
          <a:hlinkClick xmlns:r="http://schemas.openxmlformats.org/officeDocument/2006/relationships" r:id="rId11"/>
        </xdr:cNvPr>
        <xdr:cNvGrpSpPr/>
      </xdr:nvGrpSpPr>
      <xdr:grpSpPr>
        <a:xfrm>
          <a:off x="4578803" y="5293178"/>
          <a:ext cx="2038350" cy="1405618"/>
          <a:chOff x="9334500" y="3867150"/>
          <a:chExt cx="2038350" cy="1466850"/>
        </a:xfrm>
      </xdr:grpSpPr>
      <xdr:sp macro="" textlink="">
        <xdr:nvSpPr>
          <xdr:cNvPr id="31" name="30 Pentágono"/>
          <xdr:cNvSpPr/>
        </xdr:nvSpPr>
        <xdr:spPr>
          <a:xfrm>
            <a:off x="9334500" y="3867150"/>
            <a:ext cx="2038350" cy="1466850"/>
          </a:xfrm>
          <a:prstGeom prst="homePlate">
            <a:avLst/>
          </a:prstGeom>
          <a:solidFill>
            <a:srgbClr val="B61306">
              <a:alpha val="43000"/>
            </a:srgb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32" name="31 Rectángulo"/>
          <xdr:cNvSpPr/>
        </xdr:nvSpPr>
        <xdr:spPr>
          <a:xfrm>
            <a:off x="9577905" y="4413284"/>
            <a:ext cx="1274260" cy="477377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soft" dir="t">
                <a:rot lat="0" lon="0" rev="10800000"/>
              </a:lightRig>
            </a:scene3d>
            <a:sp3d>
              <a:bevelT w="27940" h="12700"/>
              <a:contourClr>
                <a:srgbClr val="DDDDDD"/>
              </a:contourClr>
            </a:sp3d>
          </a:bodyPr>
          <a:lstStyle/>
          <a:p>
            <a:pPr algn="ctr"/>
            <a:r>
              <a:rPr lang="es-ES" sz="12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ESTADO DE</a:t>
            </a:r>
          </a:p>
          <a:p>
            <a:pPr algn="ctr"/>
            <a:r>
              <a:rPr lang="es-ES" sz="12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 RESULTADOS</a:t>
            </a:r>
          </a:p>
        </xdr:txBody>
      </xdr:sp>
    </xdr:grpSp>
    <xdr:clientData/>
  </xdr:twoCellAnchor>
  <xdr:twoCellAnchor>
    <xdr:from>
      <xdr:col>0</xdr:col>
      <xdr:colOff>2349954</xdr:colOff>
      <xdr:row>23</xdr:row>
      <xdr:rowOff>46264</xdr:rowOff>
    </xdr:from>
    <xdr:to>
      <xdr:col>0</xdr:col>
      <xdr:colOff>4388304</xdr:colOff>
      <xdr:row>30</xdr:row>
      <xdr:rowOff>46264</xdr:rowOff>
    </xdr:to>
    <xdr:grpSp>
      <xdr:nvGrpSpPr>
        <xdr:cNvPr id="36" name="35 Grupo">
          <a:hlinkClick xmlns:r="http://schemas.openxmlformats.org/officeDocument/2006/relationships" r:id="rId7"/>
        </xdr:cNvPr>
        <xdr:cNvGrpSpPr/>
      </xdr:nvGrpSpPr>
      <xdr:grpSpPr>
        <a:xfrm>
          <a:off x="2349954" y="4740728"/>
          <a:ext cx="2038350" cy="1428750"/>
          <a:chOff x="9334500" y="3867150"/>
          <a:chExt cx="2038350" cy="1466850"/>
        </a:xfrm>
      </xdr:grpSpPr>
      <xdr:sp macro="" textlink="">
        <xdr:nvSpPr>
          <xdr:cNvPr id="37" name="36 Pentágono"/>
          <xdr:cNvSpPr/>
        </xdr:nvSpPr>
        <xdr:spPr>
          <a:xfrm>
            <a:off x="9334500" y="3867150"/>
            <a:ext cx="2038350" cy="1466850"/>
          </a:xfrm>
          <a:prstGeom prst="homePlate">
            <a:avLst/>
          </a:prstGeom>
          <a:solidFill>
            <a:srgbClr val="B61306">
              <a:alpha val="43000"/>
            </a:srgb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38" name="37 Rectángulo"/>
          <xdr:cNvSpPr/>
        </xdr:nvSpPr>
        <xdr:spPr>
          <a:xfrm>
            <a:off x="9345489" y="4350835"/>
            <a:ext cx="1681935" cy="468077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soft" dir="t">
                <a:rot lat="0" lon="0" rev="10800000"/>
              </a:lightRig>
            </a:scene3d>
            <a:sp3d>
              <a:bevelT w="27940" h="12700"/>
              <a:contourClr>
                <a:srgbClr val="DDDDDD"/>
              </a:contourClr>
            </a:sp3d>
          </a:bodyPr>
          <a:lstStyle/>
          <a:p>
            <a:pPr algn="ctr"/>
            <a:r>
              <a:rPr lang="es-ES" sz="12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COSTOS POR </a:t>
            </a:r>
          </a:p>
          <a:p>
            <a:pPr algn="ctr"/>
            <a:r>
              <a:rPr lang="es-ES" sz="12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UNIDAD DE VENTA</a:t>
            </a:r>
          </a:p>
        </xdr:txBody>
      </xdr:sp>
    </xdr:grpSp>
    <xdr:clientData/>
  </xdr:twoCellAnchor>
  <xdr:twoCellAnchor>
    <xdr:from>
      <xdr:col>0</xdr:col>
      <xdr:colOff>9029700</xdr:colOff>
      <xdr:row>23</xdr:row>
      <xdr:rowOff>42183</xdr:rowOff>
    </xdr:from>
    <xdr:to>
      <xdr:col>0</xdr:col>
      <xdr:colOff>11068050</xdr:colOff>
      <xdr:row>30</xdr:row>
      <xdr:rowOff>13608</xdr:rowOff>
    </xdr:to>
    <xdr:grpSp>
      <xdr:nvGrpSpPr>
        <xdr:cNvPr id="42" name="41 Grupo">
          <a:hlinkClick xmlns:r="http://schemas.openxmlformats.org/officeDocument/2006/relationships" r:id="rId12"/>
        </xdr:cNvPr>
        <xdr:cNvGrpSpPr/>
      </xdr:nvGrpSpPr>
      <xdr:grpSpPr>
        <a:xfrm>
          <a:off x="9029700" y="4736647"/>
          <a:ext cx="2038350" cy="1400175"/>
          <a:chOff x="9334500" y="3867150"/>
          <a:chExt cx="2038350" cy="1466850"/>
        </a:xfrm>
      </xdr:grpSpPr>
      <xdr:sp macro="" textlink="">
        <xdr:nvSpPr>
          <xdr:cNvPr id="43" name="42 Pentágono"/>
          <xdr:cNvSpPr/>
        </xdr:nvSpPr>
        <xdr:spPr>
          <a:xfrm>
            <a:off x="9334500" y="3867150"/>
            <a:ext cx="2038350" cy="1466850"/>
          </a:xfrm>
          <a:prstGeom prst="homePlate">
            <a:avLst/>
          </a:prstGeom>
          <a:solidFill>
            <a:srgbClr val="B61306">
              <a:alpha val="43000"/>
            </a:srgb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44" name="43 Rectángulo"/>
          <xdr:cNvSpPr/>
        </xdr:nvSpPr>
        <xdr:spPr>
          <a:xfrm>
            <a:off x="9346873" y="4471569"/>
            <a:ext cx="1698222" cy="28577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soft" dir="t">
                <a:rot lat="0" lon="0" rev="10800000"/>
              </a:lightRig>
            </a:scene3d>
            <a:sp3d>
              <a:bevelT w="27940" h="12700"/>
              <a:contourClr>
                <a:srgbClr val="DDDDDD"/>
              </a:contourClr>
            </a:sp3d>
          </a:bodyPr>
          <a:lstStyle/>
          <a:p>
            <a:pPr algn="ctr"/>
            <a:r>
              <a:rPr lang="es-ES" sz="1200" b="1" cap="none" spc="150">
                <a:ln w="11430"/>
                <a:solidFill>
                  <a:srgbClr val="F8F8F8"/>
                </a:solidFill>
                <a:effectLst>
                  <a:outerShdw blurRad="25400" algn="tl" rotWithShape="0">
                    <a:srgbClr val="000000">
                      <a:alpha val="43000"/>
                    </a:srgbClr>
                  </a:outerShdw>
                </a:effectLst>
              </a:rPr>
              <a:t>BALANCE GENERAL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0</xdr:rowOff>
    </xdr:from>
    <xdr:to>
      <xdr:col>12</xdr:col>
      <xdr:colOff>686296</xdr:colOff>
      <xdr:row>13</xdr:row>
      <xdr:rowOff>136072</xdr:rowOff>
    </xdr:to>
    <xdr:grpSp>
      <xdr:nvGrpSpPr>
        <xdr:cNvPr id="2" name="1 Grupo">
          <a:hlinkClick xmlns:r="http://schemas.openxmlformats.org/officeDocument/2006/relationships" r:id="rId1"/>
        </xdr:cNvPr>
        <xdr:cNvGrpSpPr/>
      </xdr:nvGrpSpPr>
      <xdr:grpSpPr>
        <a:xfrm>
          <a:off x="10239375" y="1714500"/>
          <a:ext cx="686296" cy="1088572"/>
          <a:chOff x="4355151" y="1208266"/>
          <a:chExt cx="1141274" cy="1138966"/>
        </a:xfrm>
      </xdr:grpSpPr>
      <xdr:sp macro="" textlink="">
        <xdr:nvSpPr>
          <xdr:cNvPr id="3" name="2 Cara sonriente"/>
          <xdr:cNvSpPr/>
        </xdr:nvSpPr>
        <xdr:spPr>
          <a:xfrm>
            <a:off x="4456339" y="1435553"/>
            <a:ext cx="959303" cy="911679"/>
          </a:xfrm>
          <a:prstGeom prst="smileyFace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endParaRPr>
          </a:p>
        </xdr:txBody>
      </xdr:sp>
      <xdr:sp macro="" textlink="">
        <xdr:nvSpPr>
          <xdr:cNvPr id="4" name="3 Rectángulo"/>
          <xdr:cNvSpPr/>
        </xdr:nvSpPr>
        <xdr:spPr>
          <a:xfrm>
            <a:off x="4355151" y="1208266"/>
            <a:ext cx="1141274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2800" b="1" cap="none" spc="0">
                <a:ln w="19050">
                  <a:solidFill>
                    <a:schemeClr val="tx2">
                      <a:tint val="1000"/>
                    </a:schemeClr>
                  </a:solidFill>
                  <a:prstDash val="solid"/>
                </a:ln>
                <a:solidFill>
                  <a:schemeClr val="accent3"/>
                </a:solidFill>
                <a:effectLst>
                  <a:outerShdw blurRad="50000" dist="50800" dir="7500000" algn="tl">
                    <a:srgbClr val="000000">
                      <a:shade val="5000"/>
                      <a:alpha val="35000"/>
                    </a:srgbClr>
                  </a:outerShdw>
                </a:effectLst>
              </a:rPr>
              <a:t>INICIO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686296</xdr:colOff>
      <xdr:row>6</xdr:row>
      <xdr:rowOff>136072</xdr:rowOff>
    </xdr:to>
    <xdr:grpSp>
      <xdr:nvGrpSpPr>
        <xdr:cNvPr id="2" name="1 Grupo">
          <a:hlinkClick xmlns:r="http://schemas.openxmlformats.org/officeDocument/2006/relationships" r:id="rId1"/>
        </xdr:cNvPr>
        <xdr:cNvGrpSpPr/>
      </xdr:nvGrpSpPr>
      <xdr:grpSpPr>
        <a:xfrm>
          <a:off x="6323135" y="219808"/>
          <a:ext cx="686296" cy="1088572"/>
          <a:chOff x="4355151" y="1208266"/>
          <a:chExt cx="1141274" cy="1138966"/>
        </a:xfrm>
      </xdr:grpSpPr>
      <xdr:sp macro="" textlink="">
        <xdr:nvSpPr>
          <xdr:cNvPr id="3" name="2 Cara sonriente"/>
          <xdr:cNvSpPr/>
        </xdr:nvSpPr>
        <xdr:spPr>
          <a:xfrm>
            <a:off x="4456339" y="1435553"/>
            <a:ext cx="959303" cy="911679"/>
          </a:xfrm>
          <a:prstGeom prst="smileyFace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endParaRPr>
          </a:p>
        </xdr:txBody>
      </xdr:sp>
      <xdr:sp macro="" textlink="">
        <xdr:nvSpPr>
          <xdr:cNvPr id="4" name="3 Rectángulo"/>
          <xdr:cNvSpPr/>
        </xdr:nvSpPr>
        <xdr:spPr>
          <a:xfrm>
            <a:off x="4355151" y="1208266"/>
            <a:ext cx="1141274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2800" b="1" cap="none" spc="0">
                <a:ln w="19050">
                  <a:solidFill>
                    <a:schemeClr val="tx2">
                      <a:tint val="1000"/>
                    </a:schemeClr>
                  </a:solidFill>
                  <a:prstDash val="solid"/>
                </a:ln>
                <a:solidFill>
                  <a:schemeClr val="accent3"/>
                </a:solidFill>
                <a:effectLst>
                  <a:outerShdw blurRad="50000" dist="50800" dir="7500000" algn="tl">
                    <a:srgbClr val="000000">
                      <a:shade val="5000"/>
                      <a:alpha val="35000"/>
                    </a:srgbClr>
                  </a:outerShdw>
                </a:effectLst>
              </a:rPr>
              <a:t>INICIO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5</xdr:col>
      <xdr:colOff>686296</xdr:colOff>
      <xdr:row>8</xdr:row>
      <xdr:rowOff>136072</xdr:rowOff>
    </xdr:to>
    <xdr:grpSp>
      <xdr:nvGrpSpPr>
        <xdr:cNvPr id="2" name="1 Grupo">
          <a:hlinkClick xmlns:r="http://schemas.openxmlformats.org/officeDocument/2006/relationships" r:id="rId1"/>
        </xdr:cNvPr>
        <xdr:cNvGrpSpPr/>
      </xdr:nvGrpSpPr>
      <xdr:grpSpPr>
        <a:xfrm>
          <a:off x="6096000" y="571500"/>
          <a:ext cx="686296" cy="1088572"/>
          <a:chOff x="4355151" y="1208266"/>
          <a:chExt cx="1141274" cy="1138966"/>
        </a:xfrm>
      </xdr:grpSpPr>
      <xdr:sp macro="" textlink="">
        <xdr:nvSpPr>
          <xdr:cNvPr id="3" name="2 Cara sonriente"/>
          <xdr:cNvSpPr/>
        </xdr:nvSpPr>
        <xdr:spPr>
          <a:xfrm>
            <a:off x="4456339" y="1435553"/>
            <a:ext cx="959303" cy="911679"/>
          </a:xfrm>
          <a:prstGeom prst="smileyFace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endParaRPr>
          </a:p>
        </xdr:txBody>
      </xdr:sp>
      <xdr:sp macro="" textlink="">
        <xdr:nvSpPr>
          <xdr:cNvPr id="4" name="3 Rectángulo"/>
          <xdr:cNvSpPr/>
        </xdr:nvSpPr>
        <xdr:spPr>
          <a:xfrm>
            <a:off x="4355151" y="1208266"/>
            <a:ext cx="1141274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2800" b="1" cap="none" spc="0">
                <a:ln w="19050">
                  <a:solidFill>
                    <a:schemeClr val="tx2">
                      <a:tint val="1000"/>
                    </a:schemeClr>
                  </a:solidFill>
                  <a:prstDash val="solid"/>
                </a:ln>
                <a:solidFill>
                  <a:schemeClr val="accent3"/>
                </a:solidFill>
                <a:effectLst>
                  <a:outerShdw blurRad="50000" dist="50800" dir="7500000" algn="tl">
                    <a:srgbClr val="000000">
                      <a:shade val="5000"/>
                      <a:alpha val="35000"/>
                    </a:srgbClr>
                  </a:outerShdw>
                </a:effectLst>
              </a:rPr>
              <a:t>INICIO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184561</xdr:colOff>
      <xdr:row>0</xdr:row>
      <xdr:rowOff>108857</xdr:rowOff>
    </xdr:from>
    <xdr:to>
      <xdr:col>3</xdr:col>
      <xdr:colOff>591910</xdr:colOff>
      <xdr:row>7</xdr:row>
      <xdr:rowOff>54429</xdr:rowOff>
    </xdr:to>
    <xdr:grpSp>
      <xdr:nvGrpSpPr>
        <xdr:cNvPr id="4" name="3 Grupo">
          <a:hlinkClick xmlns:r="http://schemas.openxmlformats.org/officeDocument/2006/relationships" r:id="rId1"/>
        </xdr:cNvPr>
        <xdr:cNvGrpSpPr/>
      </xdr:nvGrpSpPr>
      <xdr:grpSpPr>
        <a:xfrm>
          <a:off x="3593150" y="108857"/>
          <a:ext cx="686296" cy="1088572"/>
          <a:chOff x="4355151" y="1208266"/>
          <a:chExt cx="1141274" cy="1138966"/>
        </a:xfrm>
      </xdr:grpSpPr>
      <xdr:sp macro="" textlink="">
        <xdr:nvSpPr>
          <xdr:cNvPr id="2" name="1 Cara sonriente"/>
          <xdr:cNvSpPr/>
        </xdr:nvSpPr>
        <xdr:spPr>
          <a:xfrm>
            <a:off x="4456339" y="1435553"/>
            <a:ext cx="959303" cy="911679"/>
          </a:xfrm>
          <a:prstGeom prst="smileyFace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endParaRPr>
          </a:p>
        </xdr:txBody>
      </xdr:sp>
      <xdr:sp macro="" textlink="">
        <xdr:nvSpPr>
          <xdr:cNvPr id="3" name="2 Rectángulo"/>
          <xdr:cNvSpPr/>
        </xdr:nvSpPr>
        <xdr:spPr>
          <a:xfrm>
            <a:off x="4355151" y="1208266"/>
            <a:ext cx="1141274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2800" b="1" cap="none" spc="0">
                <a:ln w="19050">
                  <a:solidFill>
                    <a:schemeClr val="tx2">
                      <a:tint val="1000"/>
                    </a:schemeClr>
                  </a:solidFill>
                  <a:prstDash val="solid"/>
                </a:ln>
                <a:solidFill>
                  <a:schemeClr val="accent3"/>
                </a:solidFill>
                <a:effectLst>
                  <a:outerShdw blurRad="50000" dist="50800" dir="7500000" algn="tl">
                    <a:srgbClr val="000000">
                      <a:shade val="5000"/>
                      <a:alpha val="35000"/>
                    </a:srgbClr>
                  </a:outerShdw>
                </a:effectLst>
              </a:rPr>
              <a:t>INICIO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686296</xdr:colOff>
      <xdr:row>5</xdr:row>
      <xdr:rowOff>69397</xdr:rowOff>
    </xdr:to>
    <xdr:grpSp>
      <xdr:nvGrpSpPr>
        <xdr:cNvPr id="5" name="4 Grupo">
          <a:hlinkClick xmlns:r="http://schemas.openxmlformats.org/officeDocument/2006/relationships" r:id="rId1"/>
        </xdr:cNvPr>
        <xdr:cNvGrpSpPr/>
      </xdr:nvGrpSpPr>
      <xdr:grpSpPr>
        <a:xfrm>
          <a:off x="5372100" y="200025"/>
          <a:ext cx="686296" cy="1088572"/>
          <a:chOff x="4355151" y="1208266"/>
          <a:chExt cx="1141274" cy="1138966"/>
        </a:xfrm>
      </xdr:grpSpPr>
      <xdr:sp macro="" textlink="">
        <xdr:nvSpPr>
          <xdr:cNvPr id="6" name="5 Cara sonriente"/>
          <xdr:cNvSpPr/>
        </xdr:nvSpPr>
        <xdr:spPr>
          <a:xfrm>
            <a:off x="4456339" y="1435553"/>
            <a:ext cx="959303" cy="911679"/>
          </a:xfrm>
          <a:prstGeom prst="smileyFace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endParaRPr>
          </a:p>
        </xdr:txBody>
      </xdr:sp>
      <xdr:sp macro="" textlink="">
        <xdr:nvSpPr>
          <xdr:cNvPr id="7" name="6 Rectángulo"/>
          <xdr:cNvSpPr/>
        </xdr:nvSpPr>
        <xdr:spPr>
          <a:xfrm>
            <a:off x="4355151" y="1208266"/>
            <a:ext cx="1141274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2800" b="1" cap="none" spc="0">
                <a:ln w="19050">
                  <a:solidFill>
                    <a:schemeClr val="tx2">
                      <a:tint val="1000"/>
                    </a:schemeClr>
                  </a:solidFill>
                  <a:prstDash val="solid"/>
                </a:ln>
                <a:solidFill>
                  <a:schemeClr val="accent3"/>
                </a:solidFill>
                <a:effectLst>
                  <a:outerShdw blurRad="50000" dist="50800" dir="7500000" algn="tl">
                    <a:srgbClr val="000000">
                      <a:shade val="5000"/>
                      <a:alpha val="35000"/>
                    </a:srgbClr>
                  </a:outerShdw>
                </a:effectLst>
              </a:rPr>
              <a:t>INICIO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686296</xdr:colOff>
      <xdr:row>20</xdr:row>
      <xdr:rowOff>117022</xdr:rowOff>
    </xdr:to>
    <xdr:grpSp>
      <xdr:nvGrpSpPr>
        <xdr:cNvPr id="9" name="8 Grupo">
          <a:hlinkClick xmlns:r="http://schemas.openxmlformats.org/officeDocument/2006/relationships" r:id="rId1"/>
        </xdr:cNvPr>
        <xdr:cNvGrpSpPr/>
      </xdr:nvGrpSpPr>
      <xdr:grpSpPr>
        <a:xfrm>
          <a:off x="0" y="2886075"/>
          <a:ext cx="686296" cy="1088572"/>
          <a:chOff x="4355151" y="1208266"/>
          <a:chExt cx="1141274" cy="1138966"/>
        </a:xfrm>
      </xdr:grpSpPr>
      <xdr:sp macro="" textlink="">
        <xdr:nvSpPr>
          <xdr:cNvPr id="10" name="9 Cara sonriente"/>
          <xdr:cNvSpPr/>
        </xdr:nvSpPr>
        <xdr:spPr>
          <a:xfrm>
            <a:off x="4456339" y="1435553"/>
            <a:ext cx="959303" cy="911679"/>
          </a:xfrm>
          <a:prstGeom prst="smileyFace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endParaRPr>
          </a:p>
        </xdr:txBody>
      </xdr:sp>
      <xdr:sp macro="" textlink="">
        <xdr:nvSpPr>
          <xdr:cNvPr id="11" name="10 Rectángulo"/>
          <xdr:cNvSpPr/>
        </xdr:nvSpPr>
        <xdr:spPr>
          <a:xfrm>
            <a:off x="4355151" y="1208266"/>
            <a:ext cx="1141274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2800" b="1" cap="none" spc="0">
                <a:ln w="19050">
                  <a:solidFill>
                    <a:schemeClr val="tx2">
                      <a:tint val="1000"/>
                    </a:schemeClr>
                  </a:solidFill>
                  <a:prstDash val="solid"/>
                </a:ln>
                <a:solidFill>
                  <a:schemeClr val="accent3"/>
                </a:solidFill>
                <a:effectLst>
                  <a:outerShdw blurRad="50000" dist="50800" dir="7500000" algn="tl">
                    <a:srgbClr val="000000">
                      <a:shade val="5000"/>
                      <a:alpha val="35000"/>
                    </a:srgbClr>
                  </a:outerShdw>
                </a:effectLst>
              </a:rPr>
              <a:t>INICIO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0</xdr:rowOff>
    </xdr:from>
    <xdr:to>
      <xdr:col>5</xdr:col>
      <xdr:colOff>686296</xdr:colOff>
      <xdr:row>15</xdr:row>
      <xdr:rowOff>88447</xdr:rowOff>
    </xdr:to>
    <xdr:grpSp>
      <xdr:nvGrpSpPr>
        <xdr:cNvPr id="5" name="4 Grupo">
          <a:hlinkClick xmlns:r="http://schemas.openxmlformats.org/officeDocument/2006/relationships" r:id="rId1"/>
        </xdr:cNvPr>
        <xdr:cNvGrpSpPr/>
      </xdr:nvGrpSpPr>
      <xdr:grpSpPr>
        <a:xfrm>
          <a:off x="8524875" y="2324100"/>
          <a:ext cx="686296" cy="1088572"/>
          <a:chOff x="4355151" y="1208266"/>
          <a:chExt cx="1141274" cy="1138966"/>
        </a:xfrm>
      </xdr:grpSpPr>
      <xdr:sp macro="" textlink="">
        <xdr:nvSpPr>
          <xdr:cNvPr id="6" name="5 Cara sonriente"/>
          <xdr:cNvSpPr/>
        </xdr:nvSpPr>
        <xdr:spPr>
          <a:xfrm>
            <a:off x="4456339" y="1435553"/>
            <a:ext cx="959303" cy="911679"/>
          </a:xfrm>
          <a:prstGeom prst="smileyFace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endParaRPr>
          </a:p>
        </xdr:txBody>
      </xdr:sp>
      <xdr:sp macro="" textlink="">
        <xdr:nvSpPr>
          <xdr:cNvPr id="7" name="6 Rectángulo"/>
          <xdr:cNvSpPr/>
        </xdr:nvSpPr>
        <xdr:spPr>
          <a:xfrm>
            <a:off x="4355151" y="1208266"/>
            <a:ext cx="1141274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2800" b="1" cap="none" spc="0">
                <a:ln w="19050">
                  <a:solidFill>
                    <a:schemeClr val="tx2">
                      <a:tint val="1000"/>
                    </a:schemeClr>
                  </a:solidFill>
                  <a:prstDash val="solid"/>
                </a:ln>
                <a:solidFill>
                  <a:schemeClr val="accent3"/>
                </a:solidFill>
                <a:effectLst>
                  <a:outerShdw blurRad="50000" dist="50800" dir="7500000" algn="tl">
                    <a:srgbClr val="000000">
                      <a:shade val="5000"/>
                      <a:alpha val="35000"/>
                    </a:srgbClr>
                  </a:outerShdw>
                </a:effectLst>
              </a:rPr>
              <a:t>INICIO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26</xdr:row>
      <xdr:rowOff>0</xdr:rowOff>
    </xdr:from>
    <xdr:to>
      <xdr:col>5</xdr:col>
      <xdr:colOff>686296</xdr:colOff>
      <xdr:row>32</xdr:row>
      <xdr:rowOff>117022</xdr:rowOff>
    </xdr:to>
    <xdr:grpSp>
      <xdr:nvGrpSpPr>
        <xdr:cNvPr id="2" name="1 Grupo">
          <a:hlinkClick xmlns:r="http://schemas.openxmlformats.org/officeDocument/2006/relationships" r:id="rId1"/>
        </xdr:cNvPr>
        <xdr:cNvGrpSpPr/>
      </xdr:nvGrpSpPr>
      <xdr:grpSpPr>
        <a:xfrm>
          <a:off x="6648450" y="4371975"/>
          <a:ext cx="686296" cy="1088572"/>
          <a:chOff x="4355151" y="1208266"/>
          <a:chExt cx="1141274" cy="1138966"/>
        </a:xfrm>
      </xdr:grpSpPr>
      <xdr:sp macro="" textlink="">
        <xdr:nvSpPr>
          <xdr:cNvPr id="3" name="2 Cara sonriente"/>
          <xdr:cNvSpPr/>
        </xdr:nvSpPr>
        <xdr:spPr>
          <a:xfrm>
            <a:off x="4456339" y="1435553"/>
            <a:ext cx="959303" cy="911679"/>
          </a:xfrm>
          <a:prstGeom prst="smileyFace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endParaRPr>
          </a:p>
        </xdr:txBody>
      </xdr:sp>
      <xdr:sp macro="" textlink="">
        <xdr:nvSpPr>
          <xdr:cNvPr id="4" name="3 Rectángulo"/>
          <xdr:cNvSpPr/>
        </xdr:nvSpPr>
        <xdr:spPr>
          <a:xfrm>
            <a:off x="4355151" y="1208266"/>
            <a:ext cx="1141274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2800" b="1" cap="none" spc="0">
                <a:ln w="19050">
                  <a:solidFill>
                    <a:schemeClr val="tx2">
                      <a:tint val="1000"/>
                    </a:schemeClr>
                  </a:solidFill>
                  <a:prstDash val="solid"/>
                </a:ln>
                <a:solidFill>
                  <a:schemeClr val="accent3"/>
                </a:solidFill>
                <a:effectLst>
                  <a:outerShdw blurRad="50000" dist="50800" dir="7500000" algn="tl">
                    <a:srgbClr val="000000">
                      <a:shade val="5000"/>
                      <a:alpha val="35000"/>
                    </a:srgbClr>
                  </a:outerShdw>
                </a:effectLst>
              </a:rPr>
              <a:t>INICIO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686296</xdr:colOff>
      <xdr:row>5</xdr:row>
      <xdr:rowOff>88447</xdr:rowOff>
    </xdr:to>
    <xdr:grpSp>
      <xdr:nvGrpSpPr>
        <xdr:cNvPr id="2" name="1 Grupo">
          <a:hlinkClick xmlns:r="http://schemas.openxmlformats.org/officeDocument/2006/relationships" r:id="rId1"/>
        </xdr:cNvPr>
        <xdr:cNvGrpSpPr/>
      </xdr:nvGrpSpPr>
      <xdr:grpSpPr>
        <a:xfrm>
          <a:off x="0" y="200025"/>
          <a:ext cx="686296" cy="1088572"/>
          <a:chOff x="4355151" y="1208266"/>
          <a:chExt cx="1141274" cy="1138966"/>
        </a:xfrm>
      </xdr:grpSpPr>
      <xdr:sp macro="" textlink="">
        <xdr:nvSpPr>
          <xdr:cNvPr id="3" name="2 Cara sonriente"/>
          <xdr:cNvSpPr/>
        </xdr:nvSpPr>
        <xdr:spPr>
          <a:xfrm>
            <a:off x="4456339" y="1435553"/>
            <a:ext cx="959303" cy="911679"/>
          </a:xfrm>
          <a:prstGeom prst="smileyFace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endParaRPr>
          </a:p>
        </xdr:txBody>
      </xdr:sp>
      <xdr:sp macro="" textlink="">
        <xdr:nvSpPr>
          <xdr:cNvPr id="4" name="3 Rectángulo"/>
          <xdr:cNvSpPr/>
        </xdr:nvSpPr>
        <xdr:spPr>
          <a:xfrm>
            <a:off x="4355151" y="1208266"/>
            <a:ext cx="1141274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2800" b="1" cap="none" spc="0">
                <a:ln w="19050">
                  <a:solidFill>
                    <a:schemeClr val="tx2">
                      <a:tint val="1000"/>
                    </a:schemeClr>
                  </a:solidFill>
                  <a:prstDash val="solid"/>
                </a:ln>
                <a:solidFill>
                  <a:schemeClr val="accent3"/>
                </a:solidFill>
                <a:effectLst>
                  <a:outerShdw blurRad="50000" dist="50800" dir="7500000" algn="tl">
                    <a:srgbClr val="000000">
                      <a:shade val="5000"/>
                      <a:alpha val="35000"/>
                    </a:srgbClr>
                  </a:outerShdw>
                </a:effectLst>
              </a:rPr>
              <a:t>INICIO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686296</xdr:colOff>
      <xdr:row>5</xdr:row>
      <xdr:rowOff>78922</xdr:rowOff>
    </xdr:to>
    <xdr:grpSp>
      <xdr:nvGrpSpPr>
        <xdr:cNvPr id="2" name="1 Grupo">
          <a:hlinkClick xmlns:r="http://schemas.openxmlformats.org/officeDocument/2006/relationships" r:id="rId1"/>
        </xdr:cNvPr>
        <xdr:cNvGrpSpPr/>
      </xdr:nvGrpSpPr>
      <xdr:grpSpPr>
        <a:xfrm>
          <a:off x="10963275" y="238125"/>
          <a:ext cx="686296" cy="1088572"/>
          <a:chOff x="4355151" y="1208266"/>
          <a:chExt cx="1141274" cy="1138966"/>
        </a:xfrm>
      </xdr:grpSpPr>
      <xdr:sp macro="" textlink="">
        <xdr:nvSpPr>
          <xdr:cNvPr id="3" name="2 Cara sonriente"/>
          <xdr:cNvSpPr/>
        </xdr:nvSpPr>
        <xdr:spPr>
          <a:xfrm>
            <a:off x="4456339" y="1435553"/>
            <a:ext cx="959303" cy="911679"/>
          </a:xfrm>
          <a:prstGeom prst="smileyFace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endParaRPr>
          </a:p>
        </xdr:txBody>
      </xdr:sp>
      <xdr:sp macro="" textlink="">
        <xdr:nvSpPr>
          <xdr:cNvPr id="4" name="3 Rectángulo"/>
          <xdr:cNvSpPr/>
        </xdr:nvSpPr>
        <xdr:spPr>
          <a:xfrm>
            <a:off x="4355151" y="1208266"/>
            <a:ext cx="1141274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2800" b="1" cap="none" spc="0">
                <a:ln w="19050">
                  <a:solidFill>
                    <a:schemeClr val="tx2">
                      <a:tint val="1000"/>
                    </a:schemeClr>
                  </a:solidFill>
                  <a:prstDash val="solid"/>
                </a:ln>
                <a:solidFill>
                  <a:schemeClr val="accent3"/>
                </a:solidFill>
                <a:effectLst>
                  <a:outerShdw blurRad="50000" dist="50800" dir="7500000" algn="tl">
                    <a:srgbClr val="000000">
                      <a:shade val="5000"/>
                      <a:alpha val="35000"/>
                    </a:srgbClr>
                  </a:outerShdw>
                </a:effectLst>
              </a:rPr>
              <a:t>INICIO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8</xdr:col>
      <xdr:colOff>686296</xdr:colOff>
      <xdr:row>12</xdr:row>
      <xdr:rowOff>21772</xdr:rowOff>
    </xdr:to>
    <xdr:grpSp>
      <xdr:nvGrpSpPr>
        <xdr:cNvPr id="2" name="1 Grupo">
          <a:hlinkClick xmlns:r="http://schemas.openxmlformats.org/officeDocument/2006/relationships" r:id="rId1"/>
        </xdr:cNvPr>
        <xdr:cNvGrpSpPr/>
      </xdr:nvGrpSpPr>
      <xdr:grpSpPr>
        <a:xfrm>
          <a:off x="7467600" y="1981200"/>
          <a:ext cx="686296" cy="1088572"/>
          <a:chOff x="4355151" y="1208266"/>
          <a:chExt cx="1141274" cy="1138966"/>
        </a:xfrm>
      </xdr:grpSpPr>
      <xdr:sp macro="" textlink="">
        <xdr:nvSpPr>
          <xdr:cNvPr id="3" name="2 Cara sonriente"/>
          <xdr:cNvSpPr/>
        </xdr:nvSpPr>
        <xdr:spPr>
          <a:xfrm>
            <a:off x="4456339" y="1435553"/>
            <a:ext cx="959303" cy="911679"/>
          </a:xfrm>
          <a:prstGeom prst="smileyFace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endParaRPr>
          </a:p>
        </xdr:txBody>
      </xdr:sp>
      <xdr:sp macro="" textlink="">
        <xdr:nvSpPr>
          <xdr:cNvPr id="4" name="3 Rectángulo"/>
          <xdr:cNvSpPr/>
        </xdr:nvSpPr>
        <xdr:spPr>
          <a:xfrm>
            <a:off x="4355151" y="1208266"/>
            <a:ext cx="1141274" cy="53065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2800" b="1" cap="none" spc="0">
                <a:ln w="19050">
                  <a:solidFill>
                    <a:schemeClr val="tx2">
                      <a:tint val="1000"/>
                    </a:schemeClr>
                  </a:solidFill>
                  <a:prstDash val="solid"/>
                </a:ln>
                <a:solidFill>
                  <a:schemeClr val="accent3"/>
                </a:solidFill>
                <a:effectLst>
                  <a:outerShdw blurRad="50000" dist="50800" dir="7500000" algn="tl">
                    <a:srgbClr val="000000">
                      <a:shade val="5000"/>
                      <a:alpha val="35000"/>
                    </a:srgbClr>
                  </a:outerShdw>
                </a:effectLst>
              </a:rPr>
              <a:t>INICIO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42"/>
  <sheetViews>
    <sheetView zoomScale="70" zoomScaleNormal="70" workbookViewId="0"/>
  </sheetViews>
  <sheetFormatPr baseColWidth="10" defaultColWidth="0" defaultRowHeight="16.5" customHeight="1" zeroHeight="1" x14ac:dyDescent="0.25"/>
  <cols>
    <col min="1" max="1" width="171.7109375" style="2" customWidth="1"/>
    <col min="2" max="17" width="0" style="2" hidden="1" customWidth="1"/>
    <col min="18" max="16384" width="11.42578125" style="2" hidden="1"/>
  </cols>
  <sheetData>
    <row r="1" spans="1:16" ht="16.5" customHeight="1" x14ac:dyDescent="0.7">
      <c r="A1" s="8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6.5" customHeight="1" x14ac:dyDescent="0.5">
      <c r="A2" s="3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6.5" customHeight="1" x14ac:dyDescent="0.5">
      <c r="A3" s="3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6.5" customHeight="1" x14ac:dyDescent="0.5">
      <c r="A4" s="3" t="s">
        <v>13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6.5" customHeight="1" x14ac:dyDescent="0.35">
      <c r="A5" s="3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6.5" customHeight="1" x14ac:dyDescent="0.35">
      <c r="A6" s="3" t="s">
        <v>15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6.5" customHeight="1" x14ac:dyDescent="0.35">
      <c r="A7" s="3" t="s">
        <v>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16.5" customHeight="1" x14ac:dyDescent="0.25">
      <c r="A8" s="3" t="s">
        <v>10</v>
      </c>
    </row>
    <row r="9" spans="1:16" ht="16.5" customHeight="1" x14ac:dyDescent="0.25">
      <c r="A9" s="7">
        <v>2013</v>
      </c>
    </row>
    <row r="10" spans="1:16" ht="16.5" customHeight="1" x14ac:dyDescent="0.25"/>
    <row r="11" spans="1:16" ht="16.5" customHeight="1" x14ac:dyDescent="0.25"/>
    <row r="12" spans="1:16" ht="16.5" customHeight="1" x14ac:dyDescent="0.25"/>
    <row r="13" spans="1:16" ht="16.5" customHeight="1" x14ac:dyDescent="0.25"/>
    <row r="14" spans="1:16" ht="16.5" customHeight="1" x14ac:dyDescent="0.25"/>
    <row r="15" spans="1:16" ht="16.5" customHeight="1" x14ac:dyDescent="0.25"/>
    <row r="16" spans="1:16" ht="16.5" customHeight="1" x14ac:dyDescent="0.25"/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21" ht="16.5" customHeight="1" x14ac:dyDescent="0.25"/>
    <row r="22" ht="16.5" customHeight="1" x14ac:dyDescent="0.25"/>
    <row r="23" ht="16.5" customHeight="1" x14ac:dyDescent="0.25"/>
    <row r="24" ht="16.5" customHeight="1" x14ac:dyDescent="0.25"/>
    <row r="25" ht="16.5" customHeight="1" x14ac:dyDescent="0.25"/>
    <row r="26" ht="16.5" customHeight="1" x14ac:dyDescent="0.25"/>
    <row r="27" ht="16.5" customHeight="1" x14ac:dyDescent="0.25"/>
    <row r="28" ht="16.5" customHeight="1" x14ac:dyDescent="0.25"/>
    <row r="29" ht="16.5" customHeight="1" x14ac:dyDescent="0.25"/>
    <row r="30" ht="16.5" customHeight="1" x14ac:dyDescent="0.25"/>
    <row r="31" ht="16.5" customHeight="1" x14ac:dyDescent="0.25"/>
    <row r="32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hidden="1" customHeight="1" x14ac:dyDescent="0.25"/>
    <row r="37" ht="16.5" hidden="1" customHeight="1" x14ac:dyDescent="0.25"/>
    <row r="38" ht="16.5" hidden="1" customHeight="1" x14ac:dyDescent="0.25"/>
    <row r="39" ht="16.5" hidden="1" customHeight="1" x14ac:dyDescent="0.25"/>
    <row r="40" ht="16.5" hidden="1" customHeight="1" x14ac:dyDescent="0.25"/>
    <row r="41" ht="16.5" hidden="1" customHeight="1" x14ac:dyDescent="0.25"/>
    <row r="42" ht="16.5" hidden="1" customHeight="1" x14ac:dyDescent="0.25"/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41"/>
  <sheetViews>
    <sheetView zoomScaleNormal="100" workbookViewId="0">
      <selection activeCell="C6" sqref="C6"/>
    </sheetView>
  </sheetViews>
  <sheetFormatPr baseColWidth="10" defaultColWidth="40" defaultRowHeight="15" x14ac:dyDescent="0.25"/>
  <cols>
    <col min="1" max="1" width="39.5703125" bestFit="1" customWidth="1"/>
    <col min="2" max="2" width="10.5703125" bestFit="1" customWidth="1"/>
    <col min="3" max="3" width="9" bestFit="1" customWidth="1"/>
    <col min="4" max="4" width="10.5703125" bestFit="1" customWidth="1"/>
    <col min="5" max="5" width="5" bestFit="1" customWidth="1"/>
    <col min="6" max="6" width="13.140625" bestFit="1" customWidth="1"/>
    <col min="7" max="7" width="5" bestFit="1" customWidth="1"/>
    <col min="8" max="8" width="13.140625" bestFit="1" customWidth="1"/>
    <col min="9" max="9" width="5" bestFit="1" customWidth="1"/>
    <col min="10" max="10" width="17.5703125" customWidth="1"/>
    <col min="11" max="11" width="17" bestFit="1" customWidth="1"/>
    <col min="12" max="12" width="8" customWidth="1"/>
    <col min="13" max="15" width="14.140625" bestFit="1" customWidth="1"/>
  </cols>
  <sheetData>
    <row r="1" spans="1:15" x14ac:dyDescent="0.25">
      <c r="A1" s="322" t="s">
        <v>105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171"/>
    </row>
    <row r="2" spans="1:15" x14ac:dyDescent="0.25">
      <c r="A2" s="328" t="s">
        <v>106</v>
      </c>
      <c r="B2" s="312" t="s">
        <v>91</v>
      </c>
      <c r="C2" s="313"/>
      <c r="D2" s="312" t="s">
        <v>93</v>
      </c>
      <c r="E2" s="313"/>
      <c r="F2" s="312" t="s">
        <v>95</v>
      </c>
      <c r="G2" s="313"/>
      <c r="H2" s="312" t="s">
        <v>98</v>
      </c>
      <c r="I2" s="313"/>
      <c r="J2" s="331" t="s">
        <v>243</v>
      </c>
      <c r="K2" s="326" t="s">
        <v>239</v>
      </c>
      <c r="L2" s="171"/>
    </row>
    <row r="3" spans="1:15" s="143" customFormat="1" ht="30" customHeight="1" x14ac:dyDescent="0.25">
      <c r="A3" s="329"/>
      <c r="B3" s="310" t="s">
        <v>92</v>
      </c>
      <c r="C3" s="311"/>
      <c r="D3" s="310" t="s">
        <v>94</v>
      </c>
      <c r="E3" s="311"/>
      <c r="F3" s="310" t="s">
        <v>96</v>
      </c>
      <c r="G3" s="311"/>
      <c r="H3" s="310" t="s">
        <v>97</v>
      </c>
      <c r="I3" s="311"/>
      <c r="J3" s="332"/>
      <c r="K3" s="327"/>
      <c r="L3" s="171"/>
      <c r="M3" s="172" t="s">
        <v>143</v>
      </c>
      <c r="N3" s="172" t="s">
        <v>144</v>
      </c>
      <c r="O3" s="172" t="s">
        <v>246</v>
      </c>
    </row>
    <row r="4" spans="1:15" x14ac:dyDescent="0.25">
      <c r="A4" s="330"/>
      <c r="B4" s="144"/>
      <c r="C4" s="323" t="s">
        <v>225</v>
      </c>
      <c r="D4" s="324"/>
      <c r="E4" s="324"/>
      <c r="F4" s="324"/>
      <c r="G4" s="324"/>
      <c r="H4" s="324"/>
      <c r="I4" s="324"/>
      <c r="J4" s="324"/>
      <c r="K4" s="325"/>
      <c r="L4" s="171"/>
      <c r="M4" s="9"/>
      <c r="N4" s="9"/>
      <c r="O4" s="9"/>
    </row>
    <row r="5" spans="1:15" x14ac:dyDescent="0.25">
      <c r="A5" s="145" t="s">
        <v>107</v>
      </c>
      <c r="B5" s="12" t="e">
        <f>C5*'COSTO POR UNIDAD DE VENTA '!G38</f>
        <v>#DIV/0!</v>
      </c>
      <c r="C5" s="145">
        <v>87</v>
      </c>
      <c r="D5" s="12" t="e">
        <f>E5*'COSTO POR UNIDAD DE VENTA '!H38</f>
        <v>#DIV/0!</v>
      </c>
      <c r="E5" s="145">
        <v>85</v>
      </c>
      <c r="F5" s="142" t="e">
        <f>G5*'COSTO POR UNIDAD DE VENTA '!I38</f>
        <v>#DIV/0!</v>
      </c>
      <c r="G5" s="145">
        <v>84</v>
      </c>
      <c r="H5" s="142" t="e">
        <f>I5*'COSTO POR UNIDAD DE VENTA '!J38</f>
        <v>#DIV/0!</v>
      </c>
      <c r="I5" s="145">
        <v>83</v>
      </c>
      <c r="J5" s="145">
        <f>C5+E5+G5+I5</f>
        <v>339</v>
      </c>
      <c r="K5" s="146" t="e">
        <f>B5+D5+F5+H5</f>
        <v>#DIV/0!</v>
      </c>
      <c r="L5" s="171"/>
      <c r="M5" s="146" t="e">
        <f>(K17*6%)+K17</f>
        <v>#DIV/0!</v>
      </c>
      <c r="N5" s="146" t="e">
        <f>(M5*65%)+M5</f>
        <v>#DIV/0!</v>
      </c>
      <c r="O5" s="146" t="e">
        <f>(N5*65%)+N5</f>
        <v>#DIV/0!</v>
      </c>
    </row>
    <row r="6" spans="1:15" x14ac:dyDescent="0.25">
      <c r="A6" s="145" t="s">
        <v>108</v>
      </c>
      <c r="B6" s="12" t="e">
        <f>C6*'COSTO POR UNIDAD DE VENTA '!G38</f>
        <v>#DIV/0!</v>
      </c>
      <c r="C6" s="145">
        <v>87</v>
      </c>
      <c r="D6" s="12" t="e">
        <f>E6*'COSTO POR UNIDAD DE VENTA '!H38</f>
        <v>#DIV/0!</v>
      </c>
      <c r="E6" s="145">
        <v>85</v>
      </c>
      <c r="F6" s="142" t="e">
        <f>G6*'COSTO POR UNIDAD DE VENTA '!I38</f>
        <v>#DIV/0!</v>
      </c>
      <c r="G6" s="145">
        <v>84</v>
      </c>
      <c r="H6" s="142" t="e">
        <f>I6*'COSTO POR UNIDAD DE VENTA '!J38</f>
        <v>#DIV/0!</v>
      </c>
      <c r="I6" s="145">
        <v>83</v>
      </c>
      <c r="J6" s="145">
        <f t="shared" ref="J6:J16" si="0">C6+E6+G6+I6</f>
        <v>339</v>
      </c>
      <c r="K6" s="146" t="e">
        <f>B6+D6+F6+H6</f>
        <v>#DIV/0!</v>
      </c>
      <c r="L6" s="171"/>
    </row>
    <row r="7" spans="1:15" x14ac:dyDescent="0.25">
      <c r="A7" s="145" t="s">
        <v>109</v>
      </c>
      <c r="B7" s="12" t="e">
        <f>C7*'COSTO POR UNIDAD DE VENTA '!G38</f>
        <v>#DIV/0!</v>
      </c>
      <c r="C7" s="145">
        <v>89</v>
      </c>
      <c r="D7" s="12" t="e">
        <f>E7*'COSTO POR UNIDAD DE VENTA '!H38</f>
        <v>#DIV/0!</v>
      </c>
      <c r="E7" s="145">
        <v>89</v>
      </c>
      <c r="F7" s="142" t="e">
        <f>G7*'COSTO POR UNIDAD DE VENTA '!I38</f>
        <v>#DIV/0!</v>
      </c>
      <c r="G7" s="145">
        <v>89</v>
      </c>
      <c r="H7" s="142" t="e">
        <f>I7*'COSTO POR UNIDAD DE VENTA '!J38</f>
        <v>#DIV/0!</v>
      </c>
      <c r="I7" s="145">
        <v>89</v>
      </c>
      <c r="J7" s="145">
        <f t="shared" si="0"/>
        <v>356</v>
      </c>
      <c r="K7" s="146" t="e">
        <f t="shared" ref="K7:K16" si="1">B7+D7+F7+H7</f>
        <v>#DIV/0!</v>
      </c>
      <c r="L7" s="171"/>
    </row>
    <row r="8" spans="1:15" x14ac:dyDescent="0.25">
      <c r="A8" s="145" t="s">
        <v>110</v>
      </c>
      <c r="B8" s="12" t="e">
        <f>C8*'COSTO POR UNIDAD DE VENTA '!G38</f>
        <v>#DIV/0!</v>
      </c>
      <c r="C8" s="145">
        <v>91</v>
      </c>
      <c r="D8" s="12" t="e">
        <f>E8*'COSTO POR UNIDAD DE VENTA '!H38</f>
        <v>#DIV/0!</v>
      </c>
      <c r="E8" s="145">
        <v>91</v>
      </c>
      <c r="F8" s="142" t="e">
        <f>G8*'COSTO POR UNIDAD DE VENTA '!I38</f>
        <v>#DIV/0!</v>
      </c>
      <c r="G8" s="145">
        <v>91</v>
      </c>
      <c r="H8" s="142" t="e">
        <f>I8*'COSTO POR UNIDAD DE VENTA '!J38</f>
        <v>#DIV/0!</v>
      </c>
      <c r="I8" s="145">
        <v>91</v>
      </c>
      <c r="J8" s="145">
        <f t="shared" si="0"/>
        <v>364</v>
      </c>
      <c r="K8" s="146" t="e">
        <f t="shared" si="1"/>
        <v>#DIV/0!</v>
      </c>
      <c r="L8" s="171"/>
    </row>
    <row r="9" spans="1:15" x14ac:dyDescent="0.25">
      <c r="A9" s="145" t="s">
        <v>111</v>
      </c>
      <c r="B9" s="12" t="e">
        <f>C9*'COSTO POR UNIDAD DE VENTA '!G38</f>
        <v>#DIV/0!</v>
      </c>
      <c r="C9" s="145">
        <v>93</v>
      </c>
      <c r="D9" s="12" t="e">
        <f>E9*'COSTO POR UNIDAD DE VENTA '!H38</f>
        <v>#DIV/0!</v>
      </c>
      <c r="E9" s="145">
        <v>93</v>
      </c>
      <c r="F9" s="142" t="e">
        <f>G9*'COSTO POR UNIDAD DE VENTA '!I38</f>
        <v>#DIV/0!</v>
      </c>
      <c r="G9" s="145">
        <v>93</v>
      </c>
      <c r="H9" s="142" t="e">
        <f>I9*'COSTO POR UNIDAD DE VENTA '!J38</f>
        <v>#DIV/0!</v>
      </c>
      <c r="I9" s="145">
        <v>93</v>
      </c>
      <c r="J9" s="145">
        <f t="shared" si="0"/>
        <v>372</v>
      </c>
      <c r="K9" s="146" t="e">
        <f t="shared" si="1"/>
        <v>#DIV/0!</v>
      </c>
      <c r="L9" s="171"/>
    </row>
    <row r="10" spans="1:15" x14ac:dyDescent="0.25">
      <c r="A10" s="145" t="s">
        <v>112</v>
      </c>
      <c r="B10" s="12" t="e">
        <f>C10*'COSTO POR UNIDAD DE VENTA '!G38</f>
        <v>#DIV/0!</v>
      </c>
      <c r="C10" s="145">
        <v>95</v>
      </c>
      <c r="D10" s="12" t="e">
        <f>E10*'COSTO POR UNIDAD DE VENTA '!H38</f>
        <v>#DIV/0!</v>
      </c>
      <c r="E10" s="145">
        <v>95</v>
      </c>
      <c r="F10" s="142" t="e">
        <f>G10*'COSTO POR UNIDAD DE VENTA '!I38</f>
        <v>#DIV/0!</v>
      </c>
      <c r="G10" s="145">
        <v>95</v>
      </c>
      <c r="H10" s="142" t="e">
        <f>I10*'COSTO POR UNIDAD DE VENTA '!J38</f>
        <v>#DIV/0!</v>
      </c>
      <c r="I10" s="145">
        <v>95</v>
      </c>
      <c r="J10" s="145">
        <f t="shared" si="0"/>
        <v>380</v>
      </c>
      <c r="K10" s="146" t="e">
        <f t="shared" si="1"/>
        <v>#DIV/0!</v>
      </c>
      <c r="L10" s="171"/>
    </row>
    <row r="11" spans="1:15" x14ac:dyDescent="0.25">
      <c r="A11" s="145" t="s">
        <v>113</v>
      </c>
      <c r="B11" s="12" t="e">
        <f>C11*'COSTO POR UNIDAD DE VENTA '!G38</f>
        <v>#DIV/0!</v>
      </c>
      <c r="C11" s="145">
        <v>97</v>
      </c>
      <c r="D11" s="12" t="e">
        <f>E11*'COSTO POR UNIDAD DE VENTA '!H38</f>
        <v>#DIV/0!</v>
      </c>
      <c r="E11" s="145">
        <v>97</v>
      </c>
      <c r="F11" s="142" t="e">
        <f>G11*'COSTO POR UNIDAD DE VENTA '!I38</f>
        <v>#DIV/0!</v>
      </c>
      <c r="G11" s="145">
        <v>97</v>
      </c>
      <c r="H11" s="142" t="e">
        <f>I11*'COSTO POR UNIDAD DE VENTA '!J38</f>
        <v>#DIV/0!</v>
      </c>
      <c r="I11" s="145">
        <v>97</v>
      </c>
      <c r="J11" s="145">
        <f t="shared" si="0"/>
        <v>388</v>
      </c>
      <c r="K11" s="146" t="e">
        <f t="shared" si="1"/>
        <v>#DIV/0!</v>
      </c>
      <c r="L11" s="171"/>
    </row>
    <row r="12" spans="1:15" x14ac:dyDescent="0.25">
      <c r="A12" s="145" t="s">
        <v>114</v>
      </c>
      <c r="B12" s="12" t="e">
        <f>C12*'COSTO POR UNIDAD DE VENTA '!G38</f>
        <v>#DIV/0!</v>
      </c>
      <c r="C12" s="145">
        <v>99</v>
      </c>
      <c r="D12" s="12" t="e">
        <f>E12*'COSTO POR UNIDAD DE VENTA '!H38</f>
        <v>#DIV/0!</v>
      </c>
      <c r="E12" s="145">
        <v>99</v>
      </c>
      <c r="F12" s="142" t="e">
        <f>G12*'COSTO POR UNIDAD DE VENTA '!I38</f>
        <v>#DIV/0!</v>
      </c>
      <c r="G12" s="145">
        <v>99</v>
      </c>
      <c r="H12" s="142" t="e">
        <f>I12*'COSTO POR UNIDAD DE VENTA '!J38</f>
        <v>#DIV/0!</v>
      </c>
      <c r="I12" s="145">
        <v>99</v>
      </c>
      <c r="J12" s="145">
        <f t="shared" si="0"/>
        <v>396</v>
      </c>
      <c r="K12" s="146" t="e">
        <f t="shared" si="1"/>
        <v>#DIV/0!</v>
      </c>
      <c r="L12" s="171"/>
    </row>
    <row r="13" spans="1:15" x14ac:dyDescent="0.25">
      <c r="A13" s="145" t="s">
        <v>115</v>
      </c>
      <c r="B13" s="12" t="e">
        <f>C13*'COSTO POR UNIDAD DE VENTA '!G38</f>
        <v>#DIV/0!</v>
      </c>
      <c r="C13" s="145">
        <v>101</v>
      </c>
      <c r="D13" s="12" t="e">
        <f>E13*'COSTO POR UNIDAD DE VENTA '!H38</f>
        <v>#DIV/0!</v>
      </c>
      <c r="E13" s="145">
        <v>101</v>
      </c>
      <c r="F13" s="142" t="e">
        <f>G13*'COSTO POR UNIDAD DE VENTA '!I38</f>
        <v>#DIV/0!</v>
      </c>
      <c r="G13" s="145">
        <v>101</v>
      </c>
      <c r="H13" s="142" t="e">
        <f>I13*'COSTO POR UNIDAD DE VENTA '!J38</f>
        <v>#DIV/0!</v>
      </c>
      <c r="I13" s="145">
        <v>101</v>
      </c>
      <c r="J13" s="145">
        <f t="shared" si="0"/>
        <v>404</v>
      </c>
      <c r="K13" s="146" t="e">
        <f t="shared" si="1"/>
        <v>#DIV/0!</v>
      </c>
      <c r="L13" s="171"/>
    </row>
    <row r="14" spans="1:15" x14ac:dyDescent="0.25">
      <c r="A14" s="145" t="s">
        <v>116</v>
      </c>
      <c r="B14" s="12" t="e">
        <f>C14*'COSTO POR UNIDAD DE VENTA '!G38</f>
        <v>#DIV/0!</v>
      </c>
      <c r="C14" s="145">
        <v>97</v>
      </c>
      <c r="D14" s="12" t="e">
        <f>E14*'COSTO POR UNIDAD DE VENTA '!H38</f>
        <v>#DIV/0!</v>
      </c>
      <c r="E14" s="145">
        <v>95</v>
      </c>
      <c r="F14" s="142" t="e">
        <f>G14*'COSTO POR UNIDAD DE VENTA '!I38</f>
        <v>#DIV/0!</v>
      </c>
      <c r="G14" s="145">
        <v>93</v>
      </c>
      <c r="H14" s="142" t="e">
        <f>I14*'COSTO POR UNIDAD DE VENTA '!J38</f>
        <v>#DIV/0!</v>
      </c>
      <c r="I14" s="145">
        <v>91</v>
      </c>
      <c r="J14" s="145">
        <f t="shared" si="0"/>
        <v>376</v>
      </c>
      <c r="K14" s="146" t="e">
        <f t="shared" si="1"/>
        <v>#DIV/0!</v>
      </c>
      <c r="L14" s="171"/>
    </row>
    <row r="15" spans="1:15" x14ac:dyDescent="0.25">
      <c r="A15" s="145" t="s">
        <v>117</v>
      </c>
      <c r="B15" s="12" t="e">
        <f>C15*'COSTO POR UNIDAD DE VENTA '!G38</f>
        <v>#DIV/0!</v>
      </c>
      <c r="C15" s="145">
        <v>97</v>
      </c>
      <c r="D15" s="12" t="e">
        <f>E15*'COSTO POR UNIDAD DE VENTA '!H38</f>
        <v>#DIV/0!</v>
      </c>
      <c r="E15" s="145">
        <v>95</v>
      </c>
      <c r="F15" s="142" t="e">
        <f>G15*'COSTO POR UNIDAD DE VENTA '!I38</f>
        <v>#DIV/0!</v>
      </c>
      <c r="G15" s="145">
        <v>93</v>
      </c>
      <c r="H15" s="142" t="e">
        <f>I15*'COSTO POR UNIDAD DE VENTA '!J38</f>
        <v>#DIV/0!</v>
      </c>
      <c r="I15" s="145">
        <v>91</v>
      </c>
      <c r="J15" s="145">
        <f t="shared" si="0"/>
        <v>376</v>
      </c>
      <c r="K15" s="146" t="e">
        <f t="shared" si="1"/>
        <v>#DIV/0!</v>
      </c>
      <c r="L15" s="171"/>
    </row>
    <row r="16" spans="1:15" x14ac:dyDescent="0.25">
      <c r="A16" s="145" t="s">
        <v>118</v>
      </c>
      <c r="B16" s="12" t="e">
        <f>C16*'COSTO POR UNIDAD DE VENTA '!G38</f>
        <v>#DIV/0!</v>
      </c>
      <c r="C16" s="145">
        <v>107</v>
      </c>
      <c r="D16" s="12" t="e">
        <f>E16*'COSTO POR UNIDAD DE VENTA '!H38</f>
        <v>#DIV/0!</v>
      </c>
      <c r="E16" s="145">
        <v>102</v>
      </c>
      <c r="F16" s="142" t="e">
        <f>G16*'COSTO POR UNIDAD DE VENTA '!I38</f>
        <v>#DIV/0!</v>
      </c>
      <c r="G16" s="145">
        <v>105</v>
      </c>
      <c r="H16" s="142" t="e">
        <f>I16*'COSTO POR UNIDAD DE VENTA '!J38</f>
        <v>#DIV/0!</v>
      </c>
      <c r="I16" s="145">
        <v>107</v>
      </c>
      <c r="J16" s="145">
        <f t="shared" si="0"/>
        <v>421</v>
      </c>
      <c r="K16" s="146" t="e">
        <f t="shared" si="1"/>
        <v>#DIV/0!</v>
      </c>
      <c r="L16" s="171"/>
      <c r="M16" s="171"/>
    </row>
    <row r="17" spans="1:20" x14ac:dyDescent="0.25">
      <c r="A17" s="161" t="s">
        <v>238</v>
      </c>
      <c r="B17" s="162" t="e">
        <f>SUM(B5:B16)</f>
        <v>#DIV/0!</v>
      </c>
      <c r="C17" s="161">
        <f>SUM(C5:C16)</f>
        <v>1140</v>
      </c>
      <c r="D17" s="162" t="e">
        <f>SUM(D5:D16)</f>
        <v>#DIV/0!</v>
      </c>
      <c r="E17" s="161">
        <f>SUM(E5:E16)</f>
        <v>1127</v>
      </c>
      <c r="F17" s="163" t="e">
        <f>SUM(F5:F16)</f>
        <v>#DIV/0!</v>
      </c>
      <c r="G17" s="161">
        <f t="shared" ref="G17:I17" si="2">SUM(G5:G16)</f>
        <v>1124</v>
      </c>
      <c r="H17" s="163" t="e">
        <f>SUM(H5:H16)</f>
        <v>#DIV/0!</v>
      </c>
      <c r="I17" s="161">
        <f t="shared" si="2"/>
        <v>1120</v>
      </c>
      <c r="J17" s="161">
        <f>SUM(J5:J16)</f>
        <v>4511</v>
      </c>
      <c r="K17" s="163" t="e">
        <f>SUM(K5:K16)</f>
        <v>#DIV/0!</v>
      </c>
      <c r="L17" s="171"/>
      <c r="M17" s="171"/>
    </row>
    <row r="18" spans="1:20" s="164" customFormat="1" x14ac:dyDescent="0.25">
      <c r="A18" s="174" t="s">
        <v>259</v>
      </c>
      <c r="B18"/>
      <c r="C18">
        <f>C17/12</f>
        <v>95</v>
      </c>
      <c r="D18"/>
      <c r="E18">
        <f>E17/12</f>
        <v>93.916666666666671</v>
      </c>
      <c r="F18"/>
      <c r="G18">
        <f>G17/12</f>
        <v>93.666666666666671</v>
      </c>
      <c r="H18"/>
      <c r="I18">
        <f>I17/12</f>
        <v>93.333333333333329</v>
      </c>
      <c r="J18" s="175">
        <f>J17/12</f>
        <v>375.91666666666669</v>
      </c>
      <c r="K18"/>
      <c r="L18" s="171"/>
      <c r="M18" s="171"/>
      <c r="N18"/>
      <c r="O18"/>
      <c r="P18"/>
      <c r="Q18"/>
      <c r="R18"/>
      <c r="S18"/>
      <c r="T18"/>
    </row>
    <row r="19" spans="1:20" s="164" customFormat="1" ht="15" customHeight="1" x14ac:dyDescent="0.25">
      <c r="A19" s="328" t="s">
        <v>106</v>
      </c>
      <c r="B19" s="312" t="s">
        <v>91</v>
      </c>
      <c r="C19" s="313"/>
      <c r="D19" s="312" t="s">
        <v>93</v>
      </c>
      <c r="E19" s="313"/>
      <c r="F19" s="312" t="s">
        <v>95</v>
      </c>
      <c r="G19" s="313"/>
      <c r="H19" s="312" t="s">
        <v>98</v>
      </c>
      <c r="I19" s="313"/>
      <c r="J19" s="167" t="s">
        <v>243</v>
      </c>
      <c r="K19" s="168" t="s">
        <v>239</v>
      </c>
      <c r="L19" s="171"/>
      <c r="M19" s="171"/>
      <c r="N19"/>
      <c r="O19"/>
      <c r="P19"/>
      <c r="Q19"/>
      <c r="R19"/>
      <c r="S19"/>
      <c r="T19"/>
    </row>
    <row r="20" spans="1:20" s="164" customFormat="1" ht="15" customHeight="1" x14ac:dyDescent="0.25">
      <c r="A20" s="329"/>
      <c r="B20" s="333" t="s">
        <v>92</v>
      </c>
      <c r="C20" s="334"/>
      <c r="D20" s="334" t="s">
        <v>94</v>
      </c>
      <c r="E20" s="334"/>
      <c r="F20" s="334" t="s">
        <v>96</v>
      </c>
      <c r="G20" s="334"/>
      <c r="H20" s="334" t="s">
        <v>97</v>
      </c>
      <c r="I20" s="334"/>
      <c r="J20" s="169"/>
      <c r="K20" s="170"/>
      <c r="L20" s="171"/>
      <c r="M20" s="171"/>
      <c r="N20"/>
      <c r="O20"/>
      <c r="P20"/>
      <c r="Q20"/>
      <c r="R20"/>
      <c r="S20"/>
      <c r="T20"/>
    </row>
    <row r="21" spans="1:20" s="164" customFormat="1" x14ac:dyDescent="0.25">
      <c r="A21" s="330"/>
      <c r="B21" s="335"/>
      <c r="C21" s="336"/>
      <c r="D21" s="336"/>
      <c r="E21" s="336"/>
      <c r="F21" s="336"/>
      <c r="G21" s="336"/>
      <c r="H21" s="336"/>
      <c r="I21" s="336"/>
      <c r="J21" s="165"/>
      <c r="K21" s="166"/>
      <c r="L21" s="171"/>
      <c r="M21" s="171"/>
      <c r="N21"/>
      <c r="O21"/>
      <c r="P21"/>
      <c r="Q21"/>
      <c r="R21"/>
      <c r="S21"/>
      <c r="T21"/>
    </row>
    <row r="22" spans="1:20" s="164" customFormat="1" x14ac:dyDescent="0.25">
      <c r="A22"/>
      <c r="B22"/>
      <c r="C22"/>
      <c r="D22"/>
      <c r="E22"/>
      <c r="F22"/>
      <c r="G22"/>
      <c r="H22"/>
      <c r="I22"/>
      <c r="J22"/>
      <c r="K22"/>
      <c r="L22" s="171"/>
      <c r="M22" s="171"/>
      <c r="N22"/>
      <c r="O22"/>
      <c r="P22"/>
      <c r="Q22"/>
      <c r="R22"/>
      <c r="S22"/>
      <c r="T22"/>
    </row>
    <row r="23" spans="1:20" s="164" customFormat="1" x14ac:dyDescent="0.25">
      <c r="A23"/>
      <c r="B23"/>
      <c r="C23"/>
      <c r="D23"/>
      <c r="E23"/>
      <c r="F23"/>
      <c r="G23"/>
      <c r="H23"/>
      <c r="I23"/>
      <c r="J23"/>
      <c r="K23"/>
      <c r="L23" s="171"/>
      <c r="M23" s="171"/>
      <c r="N23"/>
      <c r="O23"/>
      <c r="P23"/>
      <c r="Q23"/>
      <c r="R23"/>
      <c r="S23"/>
      <c r="T23"/>
    </row>
    <row r="24" spans="1:20" s="164" customForma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s="164" customForma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s="164" customForma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s="164" customForma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s="164" customForma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s="164" customForma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s="164" customForma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s="164" customForma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s="164" customForma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s="164" customForma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s="164" customForma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6" spans="1:20" s="136" customFormat="1" x14ac:dyDescent="0.25">
      <c r="A36" s="137" t="s">
        <v>231</v>
      </c>
      <c r="B36" s="137" t="s">
        <v>232</v>
      </c>
      <c r="C36" s="321" t="s">
        <v>233</v>
      </c>
      <c r="D36" s="321"/>
      <c r="E36" s="321"/>
      <c r="F36" s="139"/>
      <c r="K36" s="151"/>
      <c r="L36" s="151"/>
    </row>
    <row r="37" spans="1:20" x14ac:dyDescent="0.25">
      <c r="A37" s="122" t="s">
        <v>229</v>
      </c>
      <c r="B37" s="9">
        <v>7</v>
      </c>
      <c r="C37" s="320" t="s">
        <v>230</v>
      </c>
      <c r="D37" s="320"/>
      <c r="E37" s="320"/>
      <c r="F37" s="140"/>
    </row>
    <row r="38" spans="1:20" ht="45" customHeight="1" x14ac:dyDescent="0.25">
      <c r="A38" s="122" t="s">
        <v>234</v>
      </c>
      <c r="B38" s="9">
        <f>B37*30/100</f>
        <v>2.1</v>
      </c>
      <c r="C38" s="314" t="s">
        <v>235</v>
      </c>
      <c r="D38" s="315"/>
      <c r="E38" s="316"/>
      <c r="F38" s="140"/>
    </row>
    <row r="39" spans="1:20" x14ac:dyDescent="0.25">
      <c r="A39" s="138" t="s">
        <v>236</v>
      </c>
      <c r="B39" s="9">
        <f>B37+B38</f>
        <v>9.1</v>
      </c>
      <c r="C39" s="317"/>
      <c r="D39" s="318"/>
      <c r="E39" s="319"/>
      <c r="F39" s="140"/>
    </row>
    <row r="40" spans="1:20" ht="45" x14ac:dyDescent="0.25">
      <c r="A40" s="122" t="s">
        <v>240</v>
      </c>
      <c r="B40" s="9">
        <f>B37*40/100</f>
        <v>2.8</v>
      </c>
      <c r="C40" s="304"/>
      <c r="D40" s="305"/>
      <c r="E40" s="306"/>
      <c r="F40" s="141"/>
    </row>
    <row r="41" spans="1:20" ht="20.25" customHeight="1" x14ac:dyDescent="0.25">
      <c r="A41" s="138" t="s">
        <v>237</v>
      </c>
      <c r="B41" s="9">
        <f>B37-B40</f>
        <v>4.2</v>
      </c>
      <c r="C41" s="307"/>
      <c r="D41" s="308"/>
      <c r="E41" s="309"/>
      <c r="F41" s="141"/>
    </row>
  </sheetData>
  <mergeCells count="26">
    <mergeCell ref="A1:K1"/>
    <mergeCell ref="C4:K4"/>
    <mergeCell ref="K2:K3"/>
    <mergeCell ref="A19:A21"/>
    <mergeCell ref="A2:A4"/>
    <mergeCell ref="J2:J3"/>
    <mergeCell ref="F2:G2"/>
    <mergeCell ref="F3:G3"/>
    <mergeCell ref="H2:I2"/>
    <mergeCell ref="H3:I3"/>
    <mergeCell ref="F19:G19"/>
    <mergeCell ref="H19:I19"/>
    <mergeCell ref="B20:C21"/>
    <mergeCell ref="D20:E21"/>
    <mergeCell ref="F20:G21"/>
    <mergeCell ref="H20:I21"/>
    <mergeCell ref="C40:E41"/>
    <mergeCell ref="B3:C3"/>
    <mergeCell ref="B2:C2"/>
    <mergeCell ref="D2:E2"/>
    <mergeCell ref="C38:E39"/>
    <mergeCell ref="C37:E37"/>
    <mergeCell ref="D3:E3"/>
    <mergeCell ref="C36:E36"/>
    <mergeCell ref="B19:C19"/>
    <mergeCell ref="D19:E19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9"/>
  <sheetViews>
    <sheetView zoomScale="130" zoomScaleNormal="130" workbookViewId="0"/>
  </sheetViews>
  <sheetFormatPr baseColWidth="10" defaultRowHeight="15" x14ac:dyDescent="0.25"/>
  <cols>
    <col min="1" max="1" width="43.42578125" bestFit="1" customWidth="1"/>
    <col min="2" max="2" width="12.85546875" style="10" customWidth="1"/>
    <col min="3" max="5" width="12.85546875" customWidth="1"/>
  </cols>
  <sheetData>
    <row r="1" spans="1:6" ht="17.25" customHeight="1" x14ac:dyDescent="0.25">
      <c r="A1" s="201" t="s">
        <v>261</v>
      </c>
      <c r="B1" s="202" t="s">
        <v>262</v>
      </c>
      <c r="C1" s="202" t="s">
        <v>276</v>
      </c>
      <c r="D1" s="202" t="s">
        <v>144</v>
      </c>
      <c r="E1" s="202" t="s">
        <v>246</v>
      </c>
    </row>
    <row r="2" spans="1:6" x14ac:dyDescent="0.25">
      <c r="A2" s="200" t="s">
        <v>263</v>
      </c>
      <c r="B2" s="197" t="e">
        <f>PROYECCION!K17</f>
        <v>#DIV/0!</v>
      </c>
      <c r="C2" s="197" t="e">
        <f>PROYECCION!M5</f>
        <v>#DIV/0!</v>
      </c>
      <c r="D2" s="197" t="e">
        <f>PROYECCION!N5</f>
        <v>#DIV/0!</v>
      </c>
      <c r="E2" s="197" t="e">
        <f>PROYECCION!O5</f>
        <v>#DIV/0!</v>
      </c>
    </row>
    <row r="3" spans="1:6" x14ac:dyDescent="0.25">
      <c r="A3" s="200" t="s">
        <v>264</v>
      </c>
      <c r="B3" s="197">
        <v>0</v>
      </c>
      <c r="C3" s="197">
        <v>0</v>
      </c>
      <c r="D3" s="197">
        <v>0</v>
      </c>
      <c r="E3" s="197">
        <v>0</v>
      </c>
    </row>
    <row r="4" spans="1:6" x14ac:dyDescent="0.25">
      <c r="A4" s="200" t="s">
        <v>265</v>
      </c>
      <c r="B4" s="199" t="e">
        <f>SUM(B2:B3)</f>
        <v>#DIV/0!</v>
      </c>
      <c r="C4" s="199" t="e">
        <f>SUM(C2:C3)</f>
        <v>#DIV/0!</v>
      </c>
      <c r="D4" s="199" t="e">
        <f>SUM(D2:D3)</f>
        <v>#DIV/0!</v>
      </c>
      <c r="E4" s="199" t="e">
        <f>SUM(E2:E3)</f>
        <v>#DIV/0!</v>
      </c>
    </row>
    <row r="5" spans="1:6" x14ac:dyDescent="0.25">
      <c r="A5" s="200" t="s">
        <v>266</v>
      </c>
      <c r="B5" s="197">
        <f>'COS PRODU Y GASTOS ADMON'!B47:E47</f>
        <v>890000</v>
      </c>
      <c r="C5" s="197">
        <f>'COS PRODU Y GASTOS ADMON'!C47:F47</f>
        <v>916700</v>
      </c>
      <c r="D5" s="197">
        <f>'COS PRODU Y GASTOS ADMON'!D47:G47</f>
        <v>944201</v>
      </c>
      <c r="E5" s="197">
        <f>'COS PRODU Y GASTOS ADMON'!E47:H47</f>
        <v>972527.03</v>
      </c>
    </row>
    <row r="6" spans="1:6" x14ac:dyDescent="0.25">
      <c r="A6" s="200" t="s">
        <v>267</v>
      </c>
      <c r="B6" s="199" t="e">
        <f>B4-B5</f>
        <v>#DIV/0!</v>
      </c>
      <c r="C6" s="199" t="e">
        <f t="shared" ref="C6:E6" si="0">C4-C5</f>
        <v>#DIV/0!</v>
      </c>
      <c r="D6" s="199" t="e">
        <f t="shared" si="0"/>
        <v>#DIV/0!</v>
      </c>
      <c r="E6" s="199" t="e">
        <f t="shared" si="0"/>
        <v>#DIV/0!</v>
      </c>
    </row>
    <row r="7" spans="1:6" x14ac:dyDescent="0.25">
      <c r="A7" s="203" t="s">
        <v>268</v>
      </c>
      <c r="B7" s="204"/>
      <c r="C7" s="204"/>
      <c r="D7" s="204"/>
      <c r="E7" s="204"/>
    </row>
    <row r="8" spans="1:6" ht="45" x14ac:dyDescent="0.25">
      <c r="A8" s="122" t="s">
        <v>277</v>
      </c>
      <c r="B8" s="205">
        <f>'COS PRODU Y GASTOS ADMON'!B45:E45</f>
        <v>580000</v>
      </c>
      <c r="C8" s="205">
        <f>'COS PRODU Y GASTOS ADMON'!C45:F45</f>
        <v>597400</v>
      </c>
      <c r="D8" s="205">
        <f>'COS PRODU Y GASTOS ADMON'!D45:G45</f>
        <v>615322</v>
      </c>
      <c r="E8" s="205">
        <f>'COS PRODU Y GASTOS ADMON'!E45:H45</f>
        <v>633781.66</v>
      </c>
    </row>
    <row r="9" spans="1:6" x14ac:dyDescent="0.25">
      <c r="A9" s="203" t="s">
        <v>269</v>
      </c>
      <c r="B9" s="204"/>
      <c r="C9" s="204"/>
      <c r="D9" s="204"/>
      <c r="E9" s="204"/>
    </row>
    <row r="10" spans="1:6" x14ac:dyDescent="0.25">
      <c r="A10" s="194" t="s">
        <v>278</v>
      </c>
      <c r="B10" s="197">
        <f>'COS PRODU Y GASTOS ADMON'!B46:E46</f>
        <v>0</v>
      </c>
      <c r="C10" s="197">
        <f>'COS PRODU Y GASTOS ADMON'!C46:F46</f>
        <v>0</v>
      </c>
      <c r="D10" s="197">
        <f>'COS PRODU Y GASTOS ADMON'!D46:G46</f>
        <v>0</v>
      </c>
      <c r="E10" s="197">
        <f>'COS PRODU Y GASTOS ADMON'!E46:H46</f>
        <v>0</v>
      </c>
    </row>
    <row r="11" spans="1:6" x14ac:dyDescent="0.25">
      <c r="A11" s="194" t="s">
        <v>270</v>
      </c>
      <c r="B11" s="28" t="e">
        <f>B2-B8-B10</f>
        <v>#DIV/0!</v>
      </c>
      <c r="C11" s="28" t="e">
        <f t="shared" ref="C11:E11" si="1">C2-C8-C10</f>
        <v>#DIV/0!</v>
      </c>
      <c r="D11" s="28" t="e">
        <f t="shared" si="1"/>
        <v>#DIV/0!</v>
      </c>
      <c r="E11" s="28" t="e">
        <f t="shared" si="1"/>
        <v>#DIV/0!</v>
      </c>
    </row>
    <row r="12" spans="1:6" x14ac:dyDescent="0.25">
      <c r="A12" s="203" t="s">
        <v>271</v>
      </c>
      <c r="B12" s="204"/>
      <c r="C12" s="204"/>
      <c r="D12" s="204"/>
      <c r="E12" s="204"/>
    </row>
    <row r="13" spans="1:6" x14ac:dyDescent="0.25">
      <c r="A13" s="195" t="s">
        <v>279</v>
      </c>
      <c r="B13" s="197">
        <v>0</v>
      </c>
      <c r="C13" s="197">
        <v>0</v>
      </c>
      <c r="D13" s="197">
        <v>0</v>
      </c>
      <c r="E13" s="197">
        <v>0</v>
      </c>
      <c r="F13" s="10"/>
    </row>
    <row r="14" spans="1:6" x14ac:dyDescent="0.25">
      <c r="A14" s="203" t="s">
        <v>272</v>
      </c>
      <c r="B14" s="204"/>
      <c r="C14" s="204"/>
      <c r="D14" s="204"/>
      <c r="E14" s="204"/>
    </row>
    <row r="15" spans="1:6" x14ac:dyDescent="0.25">
      <c r="A15" s="194" t="s">
        <v>280</v>
      </c>
      <c r="B15" s="197"/>
      <c r="C15" s="197"/>
      <c r="D15" s="197"/>
      <c r="E15" s="197"/>
    </row>
    <row r="16" spans="1:6" x14ac:dyDescent="0.25">
      <c r="A16" s="194" t="s">
        <v>273</v>
      </c>
      <c r="B16" s="197"/>
      <c r="C16" s="197"/>
      <c r="D16" s="197"/>
      <c r="E16" s="197"/>
    </row>
    <row r="17" spans="1:7" x14ac:dyDescent="0.25">
      <c r="A17" s="196" t="s">
        <v>274</v>
      </c>
      <c r="B17" s="198"/>
      <c r="C17" s="198"/>
      <c r="D17" s="198"/>
      <c r="E17" s="198"/>
    </row>
    <row r="18" spans="1:7" x14ac:dyDescent="0.25">
      <c r="A18" s="194" t="s">
        <v>275</v>
      </c>
      <c r="B18" s="197"/>
      <c r="C18" s="197"/>
      <c r="D18" s="197"/>
      <c r="E18" s="197"/>
    </row>
    <row r="19" spans="1:7" x14ac:dyDescent="0.25">
      <c r="A19" s="206" t="s">
        <v>286</v>
      </c>
      <c r="B19" s="207">
        <f>B8+B5</f>
        <v>1470000</v>
      </c>
      <c r="C19" s="207">
        <f t="shared" ref="C19:E19" si="2">C8+C5</f>
        <v>1514100</v>
      </c>
      <c r="D19" s="207">
        <f t="shared" si="2"/>
        <v>1559523</v>
      </c>
      <c r="E19" s="207">
        <f t="shared" si="2"/>
        <v>1606308.69</v>
      </c>
      <c r="G19">
        <f>5000*30/100</f>
        <v>1500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8"/>
  <sheetViews>
    <sheetView tabSelected="1" workbookViewId="0">
      <selection activeCell="F22" sqref="F22"/>
    </sheetView>
  </sheetViews>
  <sheetFormatPr baseColWidth="10" defaultRowHeight="15" x14ac:dyDescent="0.25"/>
  <cols>
    <col min="1" max="1" width="39.7109375" bestFit="1" customWidth="1"/>
    <col min="2" max="2" width="11.7109375" style="10" bestFit="1" customWidth="1"/>
    <col min="3" max="3" width="16.5703125" style="10" bestFit="1" customWidth="1"/>
    <col min="4" max="5" width="11.7109375" style="10" bestFit="1" customWidth="1"/>
  </cols>
  <sheetData>
    <row r="1" spans="1:5" x14ac:dyDescent="0.25">
      <c r="A1" s="337" t="s">
        <v>288</v>
      </c>
      <c r="B1" s="339" t="s">
        <v>326</v>
      </c>
      <c r="C1" s="339" t="s">
        <v>327</v>
      </c>
      <c r="D1" s="339">
        <v>3</v>
      </c>
      <c r="E1" s="339">
        <v>4</v>
      </c>
    </row>
    <row r="2" spans="1:5" x14ac:dyDescent="0.25">
      <c r="A2" s="338"/>
      <c r="B2" s="340"/>
      <c r="C2" s="340"/>
      <c r="D2" s="340"/>
      <c r="E2" s="340"/>
    </row>
    <row r="3" spans="1:5" x14ac:dyDescent="0.25">
      <c r="A3" s="225" t="s">
        <v>289</v>
      </c>
      <c r="B3" s="341"/>
      <c r="C3" s="341"/>
      <c r="D3" s="341"/>
      <c r="E3" s="341"/>
    </row>
    <row r="4" spans="1:5" x14ac:dyDescent="0.25">
      <c r="A4" s="217" t="s">
        <v>290</v>
      </c>
      <c r="B4" s="227">
        <f>'CAPITAL DE TRABAJO '!C16</f>
        <v>0</v>
      </c>
      <c r="C4" s="227">
        <f>(B4*3/100)+B4</f>
        <v>0</v>
      </c>
      <c r="D4" s="227">
        <f t="shared" ref="D4:E4" si="0">(C4*3/100)+C4</f>
        <v>0</v>
      </c>
      <c r="E4" s="227">
        <f t="shared" si="0"/>
        <v>0</v>
      </c>
    </row>
    <row r="5" spans="1:5" x14ac:dyDescent="0.25">
      <c r="A5" s="218" t="s">
        <v>291</v>
      </c>
      <c r="B5" s="227">
        <f>'CAPITAL DE TRABAJO '!C15</f>
        <v>0</v>
      </c>
      <c r="C5" s="227">
        <f>(B5*3/100)+B5</f>
        <v>0</v>
      </c>
      <c r="D5" s="227">
        <f t="shared" ref="D5:E5" si="1">(C5*3/100)+C5</f>
        <v>0</v>
      </c>
      <c r="E5" s="227">
        <f t="shared" si="1"/>
        <v>0</v>
      </c>
    </row>
    <row r="6" spans="1:5" x14ac:dyDescent="0.25">
      <c r="A6" s="219" t="s">
        <v>292</v>
      </c>
      <c r="B6" s="228">
        <f>'CAPITAL DE TRABAJO '!C18</f>
        <v>0</v>
      </c>
      <c r="C6" s="227">
        <f>(B6*3/100)+B6</f>
        <v>0</v>
      </c>
      <c r="D6" s="227">
        <f t="shared" ref="D6:E6" si="2">(C6*3/100)+C6</f>
        <v>0</v>
      </c>
      <c r="E6" s="227">
        <f t="shared" si="2"/>
        <v>0</v>
      </c>
    </row>
    <row r="7" spans="1:5" x14ac:dyDescent="0.25">
      <c r="A7" s="233" t="s">
        <v>293</v>
      </c>
      <c r="B7" s="234">
        <f>SUM(B4:B6)</f>
        <v>0</v>
      </c>
      <c r="C7" s="234">
        <f>SUM(C4:C6)</f>
        <v>0</v>
      </c>
      <c r="D7" s="234">
        <f>SUM(D4:D6)</f>
        <v>0</v>
      </c>
      <c r="E7" s="234">
        <f>SUM(E4:E6)</f>
        <v>0</v>
      </c>
    </row>
    <row r="8" spans="1:5" x14ac:dyDescent="0.25">
      <c r="A8" s="218" t="s">
        <v>294</v>
      </c>
      <c r="B8" s="227">
        <v>0</v>
      </c>
      <c r="C8" s="227">
        <v>0</v>
      </c>
      <c r="D8" s="227">
        <v>0</v>
      </c>
      <c r="E8" s="227">
        <v>0</v>
      </c>
    </row>
    <row r="9" spans="1:5" x14ac:dyDescent="0.25">
      <c r="A9" s="218" t="s">
        <v>312</v>
      </c>
      <c r="B9" s="227"/>
      <c r="C9" s="227"/>
      <c r="D9" s="227"/>
      <c r="E9" s="227"/>
    </row>
    <row r="10" spans="1:5" x14ac:dyDescent="0.25">
      <c r="A10" s="221" t="s">
        <v>295</v>
      </c>
      <c r="B10" s="229">
        <f>B9</f>
        <v>0</v>
      </c>
      <c r="C10" s="229">
        <f t="shared" ref="C10:E10" si="3">C9</f>
        <v>0</v>
      </c>
      <c r="D10" s="229">
        <f t="shared" si="3"/>
        <v>0</v>
      </c>
      <c r="E10" s="229">
        <f t="shared" si="3"/>
        <v>0</v>
      </c>
    </row>
    <row r="11" spans="1:5" x14ac:dyDescent="0.25">
      <c r="A11" s="220" t="s">
        <v>296</v>
      </c>
      <c r="B11" s="229">
        <v>0</v>
      </c>
      <c r="C11" s="229">
        <v>0</v>
      </c>
      <c r="D11" s="229">
        <v>0</v>
      </c>
      <c r="E11" s="229">
        <v>0</v>
      </c>
    </row>
    <row r="12" spans="1:5" x14ac:dyDescent="0.25">
      <c r="A12" s="235" t="s">
        <v>297</v>
      </c>
      <c r="B12" s="234">
        <f>SUM(B8:B9)</f>
        <v>0</v>
      </c>
      <c r="C12" s="234">
        <f t="shared" ref="C12:E12" si="4">SUM(C8:C9)</f>
        <v>0</v>
      </c>
      <c r="D12" s="234">
        <f t="shared" si="4"/>
        <v>0</v>
      </c>
      <c r="E12" s="234">
        <f t="shared" si="4"/>
        <v>0</v>
      </c>
    </row>
    <row r="13" spans="1:5" x14ac:dyDescent="0.25">
      <c r="A13" s="225" t="s">
        <v>298</v>
      </c>
      <c r="B13" s="230"/>
      <c r="C13" s="230"/>
      <c r="D13" s="230"/>
      <c r="E13" s="230"/>
    </row>
    <row r="14" spans="1:5" x14ac:dyDescent="0.25">
      <c r="A14" s="222" t="s">
        <v>299</v>
      </c>
      <c r="B14" s="227">
        <v>0</v>
      </c>
      <c r="C14" s="227">
        <v>0</v>
      </c>
      <c r="D14" s="227">
        <v>0</v>
      </c>
      <c r="E14" s="227">
        <v>0</v>
      </c>
    </row>
    <row r="15" spans="1:5" x14ac:dyDescent="0.25">
      <c r="A15" s="222" t="s">
        <v>300</v>
      </c>
      <c r="B15" s="227">
        <f>'COS PRODU Y GASTOS ADMON'!E34</f>
        <v>0</v>
      </c>
      <c r="C15" s="227">
        <f>(B15*3/100)+B15</f>
        <v>0</v>
      </c>
      <c r="D15" s="227">
        <f t="shared" ref="D15:E15" si="5">(C15*3/100)+C15</f>
        <v>0</v>
      </c>
      <c r="E15" s="227">
        <f t="shared" si="5"/>
        <v>0</v>
      </c>
    </row>
    <row r="16" spans="1:5" x14ac:dyDescent="0.25">
      <c r="A16" s="222" t="s">
        <v>301</v>
      </c>
      <c r="B16" s="227">
        <v>0</v>
      </c>
      <c r="C16" s="227">
        <v>0</v>
      </c>
      <c r="D16" s="227">
        <v>0</v>
      </c>
      <c r="E16" s="227">
        <v>0</v>
      </c>
    </row>
    <row r="17" spans="1:5" x14ac:dyDescent="0.25">
      <c r="A17" s="222" t="s">
        <v>302</v>
      </c>
      <c r="B17" s="227"/>
      <c r="C17" s="227"/>
      <c r="D17" s="227"/>
      <c r="E17" s="227"/>
    </row>
    <row r="18" spans="1:5" x14ac:dyDescent="0.25">
      <c r="A18" s="222" t="s">
        <v>303</v>
      </c>
      <c r="B18" s="228">
        <v>0</v>
      </c>
      <c r="C18" s="228">
        <v>0</v>
      </c>
      <c r="D18" s="228">
        <v>0</v>
      </c>
      <c r="E18" s="228">
        <v>0</v>
      </c>
    </row>
    <row r="19" spans="1:5" x14ac:dyDescent="0.25">
      <c r="A19" s="235" t="s">
        <v>304</v>
      </c>
      <c r="B19" s="234">
        <f>SUM(B14:B18)</f>
        <v>0</v>
      </c>
      <c r="C19" s="234">
        <f t="shared" ref="C19:E19" si="6">SUM(C14:C18)</f>
        <v>0</v>
      </c>
      <c r="D19" s="234">
        <f t="shared" si="6"/>
        <v>0</v>
      </c>
      <c r="E19" s="234">
        <f t="shared" si="6"/>
        <v>0</v>
      </c>
    </row>
    <row r="20" spans="1:5" x14ac:dyDescent="0.25">
      <c r="A20" s="225" t="s">
        <v>305</v>
      </c>
      <c r="B20" s="230"/>
      <c r="C20" s="230"/>
      <c r="D20" s="230"/>
      <c r="E20" s="230"/>
    </row>
    <row r="21" spans="1:5" x14ac:dyDescent="0.25">
      <c r="A21" s="223" t="s">
        <v>306</v>
      </c>
      <c r="B21" s="227"/>
      <c r="C21" s="227"/>
      <c r="D21" s="227"/>
      <c r="E21" s="227"/>
    </row>
    <row r="22" spans="1:5" x14ac:dyDescent="0.25">
      <c r="A22" s="223" t="s">
        <v>307</v>
      </c>
      <c r="B22" s="227"/>
      <c r="C22" s="227"/>
      <c r="D22" s="227"/>
      <c r="E22" s="227"/>
    </row>
    <row r="23" spans="1:5" x14ac:dyDescent="0.25">
      <c r="A23" s="223" t="s">
        <v>308</v>
      </c>
      <c r="B23" s="227"/>
      <c r="C23" s="227"/>
      <c r="D23" s="227"/>
      <c r="E23" s="227"/>
    </row>
    <row r="24" spans="1:5" x14ac:dyDescent="0.25">
      <c r="A24" s="224" t="s">
        <v>309</v>
      </c>
      <c r="B24" s="227"/>
      <c r="C24" s="227"/>
      <c r="D24" s="227"/>
      <c r="E24" s="227"/>
    </row>
    <row r="25" spans="1:5" x14ac:dyDescent="0.25">
      <c r="A25" s="235" t="s">
        <v>310</v>
      </c>
      <c r="B25" s="234"/>
      <c r="C25" s="234"/>
      <c r="D25" s="234"/>
      <c r="E25" s="234"/>
    </row>
    <row r="26" spans="1:5" x14ac:dyDescent="0.25">
      <c r="A26" s="226" t="s">
        <v>311</v>
      </c>
      <c r="B26" s="231"/>
      <c r="C26" s="231"/>
      <c r="D26" s="231"/>
      <c r="E26" s="231"/>
    </row>
    <row r="27" spans="1:5" x14ac:dyDescent="0.25">
      <c r="A27" s="216"/>
      <c r="B27" s="232"/>
      <c r="C27" s="232"/>
      <c r="D27" s="232"/>
      <c r="E27" s="232"/>
    </row>
    <row r="28" spans="1:5" x14ac:dyDescent="0.25">
      <c r="B28" s="10">
        <f>B12-B26</f>
        <v>0</v>
      </c>
      <c r="C28" s="10">
        <f t="shared" ref="C28:E28" si="7">C12-C26</f>
        <v>0</v>
      </c>
      <c r="D28" s="10">
        <f t="shared" si="7"/>
        <v>0</v>
      </c>
      <c r="E28" s="10">
        <f t="shared" si="7"/>
        <v>0</v>
      </c>
    </row>
  </sheetData>
  <mergeCells count="5">
    <mergeCell ref="A1:A2"/>
    <mergeCell ref="B1:B3"/>
    <mergeCell ref="C1:C3"/>
    <mergeCell ref="D1:D3"/>
    <mergeCell ref="E1:E3"/>
  </mergeCells>
  <conditionalFormatting sqref="B4:E4 C5:E6">
    <cfRule type="cellIs" dxfId="3" priority="4" stopIfTrue="1" operator="lessThan">
      <formula>0</formula>
    </cfRule>
  </conditionalFormatting>
  <conditionalFormatting sqref="C15:E15">
    <cfRule type="cellIs" dxfId="2" priority="3" stopIfTrue="1" operator="lessThan">
      <formula>0</formula>
    </cfRule>
  </conditionalFormatting>
  <conditionalFormatting sqref="C17:E17">
    <cfRule type="cellIs" dxfId="1" priority="2" stopIfTrue="1" operator="lessThan">
      <formula>0</formula>
    </cfRule>
  </conditionalFormatting>
  <conditionalFormatting sqref="C21:E21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140" zoomScaleNormal="140" workbookViewId="0">
      <selection activeCell="D15" sqref="D15"/>
    </sheetView>
  </sheetViews>
  <sheetFormatPr baseColWidth="10" defaultRowHeight="12.75" x14ac:dyDescent="0.2"/>
  <cols>
    <col min="1" max="1" width="34.5703125" style="238" bestFit="1" customWidth="1"/>
    <col min="2" max="2" width="16.5703125" style="248" bestFit="1" customWidth="1"/>
    <col min="3" max="3" width="4.140625" style="238" customWidth="1"/>
    <col min="4" max="4" width="25.28515625" style="238" customWidth="1"/>
    <col min="5" max="16384" width="11.42578125" style="238"/>
  </cols>
  <sheetData>
    <row r="1" spans="1:2" x14ac:dyDescent="0.2">
      <c r="A1" s="249" t="s">
        <v>0</v>
      </c>
      <c r="B1" s="249"/>
    </row>
    <row r="2" spans="1:2" x14ac:dyDescent="0.2">
      <c r="A2" s="250" t="s">
        <v>8</v>
      </c>
      <c r="B2" s="250"/>
    </row>
    <row r="3" spans="1:2" x14ac:dyDescent="0.2">
      <c r="A3" s="249" t="s">
        <v>1</v>
      </c>
      <c r="B3" s="249"/>
    </row>
    <row r="4" spans="1:2" x14ac:dyDescent="0.2">
      <c r="A4" s="239" t="s">
        <v>2</v>
      </c>
      <c r="B4" s="240" t="s">
        <v>3</v>
      </c>
    </row>
    <row r="5" spans="1:2" x14ac:dyDescent="0.2">
      <c r="A5" s="241" t="s">
        <v>323</v>
      </c>
      <c r="B5" s="240"/>
    </row>
    <row r="6" spans="1:2" x14ac:dyDescent="0.2">
      <c r="A6" s="242" t="s">
        <v>4</v>
      </c>
      <c r="B6" s="243"/>
    </row>
    <row r="7" spans="1:2" x14ac:dyDescent="0.2">
      <c r="A7" s="242" t="s">
        <v>5</v>
      </c>
      <c r="B7" s="243"/>
    </row>
    <row r="8" spans="1:2" x14ac:dyDescent="0.2">
      <c r="A8" s="242" t="s">
        <v>6</v>
      </c>
      <c r="B8" s="243"/>
    </row>
    <row r="9" spans="1:2" x14ac:dyDescent="0.2">
      <c r="A9" s="242" t="s">
        <v>7</v>
      </c>
      <c r="B9" s="243"/>
    </row>
    <row r="10" spans="1:2" x14ac:dyDescent="0.2">
      <c r="A10" s="244" t="s">
        <v>322</v>
      </c>
      <c r="B10" s="245"/>
    </row>
    <row r="11" spans="1:2" x14ac:dyDescent="0.2">
      <c r="A11" s="237" t="s">
        <v>313</v>
      </c>
      <c r="B11" s="246"/>
    </row>
    <row r="12" spans="1:2" x14ac:dyDescent="0.2">
      <c r="A12" s="237" t="s">
        <v>132</v>
      </c>
      <c r="B12" s="246"/>
    </row>
    <row r="13" spans="1:2" x14ac:dyDescent="0.2">
      <c r="A13" s="236" t="s">
        <v>314</v>
      </c>
      <c r="B13" s="247">
        <f>SUM(B11:B12)</f>
        <v>0</v>
      </c>
    </row>
    <row r="14" spans="1:2" x14ac:dyDescent="0.2">
      <c r="A14" s="236" t="s">
        <v>315</v>
      </c>
      <c r="B14" s="247">
        <f>SUM(B6:B9)</f>
        <v>0</v>
      </c>
    </row>
    <row r="15" spans="1:2" x14ac:dyDescent="0.2">
      <c r="A15" s="87" t="s">
        <v>324</v>
      </c>
      <c r="B15" s="246"/>
    </row>
    <row r="16" spans="1:2" x14ac:dyDescent="0.2">
      <c r="A16" s="87" t="s">
        <v>325</v>
      </c>
      <c r="B16" s="246"/>
    </row>
    <row r="17" spans="1:2" x14ac:dyDescent="0.2">
      <c r="A17" s="237" t="s">
        <v>316</v>
      </c>
      <c r="B17" s="246"/>
    </row>
    <row r="18" spans="1:2" x14ac:dyDescent="0.2">
      <c r="A18" s="237" t="s">
        <v>317</v>
      </c>
      <c r="B18" s="246"/>
    </row>
    <row r="19" spans="1:2" x14ac:dyDescent="0.2">
      <c r="A19" s="237" t="s">
        <v>318</v>
      </c>
      <c r="B19" s="246"/>
    </row>
    <row r="20" spans="1:2" x14ac:dyDescent="0.2">
      <c r="A20" s="237" t="s">
        <v>319</v>
      </c>
      <c r="B20" s="246"/>
    </row>
    <row r="21" spans="1:2" x14ac:dyDescent="0.2">
      <c r="A21" s="237" t="s">
        <v>320</v>
      </c>
      <c r="B21" s="246"/>
    </row>
    <row r="22" spans="1:2" x14ac:dyDescent="0.2">
      <c r="A22" s="226" t="s">
        <v>321</v>
      </c>
      <c r="B22" s="247">
        <f>SUM(B15:B21)</f>
        <v>0</v>
      </c>
    </row>
  </sheetData>
  <mergeCells count="3">
    <mergeCell ref="A1:B1"/>
    <mergeCell ref="A2:B2"/>
    <mergeCell ref="A3:B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B16"/>
  <sheetViews>
    <sheetView workbookViewId="0">
      <selection activeCell="B13" sqref="B13"/>
    </sheetView>
  </sheetViews>
  <sheetFormatPr baseColWidth="10" defaultRowHeight="15" x14ac:dyDescent="0.2"/>
  <cols>
    <col min="1" max="1" width="62.85546875" style="26" customWidth="1"/>
    <col min="2" max="2" width="17.7109375" style="27" bestFit="1" customWidth="1"/>
    <col min="3" max="16384" width="11.42578125" style="18"/>
  </cols>
  <sheetData>
    <row r="1" spans="1:2" ht="15.75" x14ac:dyDescent="0.25">
      <c r="A1" s="253" t="s">
        <v>28</v>
      </c>
      <c r="B1" s="253"/>
    </row>
    <row r="2" spans="1:2" s="22" customFormat="1" ht="15.75" x14ac:dyDescent="0.25">
      <c r="A2" s="30" t="s">
        <v>18</v>
      </c>
      <c r="B2" s="30" t="s">
        <v>3</v>
      </c>
    </row>
    <row r="3" spans="1:2" s="22" customFormat="1" ht="15.75" x14ac:dyDescent="0.25">
      <c r="A3" s="251" t="s">
        <v>24</v>
      </c>
      <c r="B3" s="252"/>
    </row>
    <row r="4" spans="1:2" ht="33.75" customHeight="1" x14ac:dyDescent="0.2">
      <c r="A4" s="23" t="s">
        <v>16</v>
      </c>
      <c r="B4" s="20"/>
    </row>
    <row r="5" spans="1:2" x14ac:dyDescent="0.2">
      <c r="A5" s="23" t="s">
        <v>19</v>
      </c>
      <c r="B5" s="20"/>
    </row>
    <row r="6" spans="1:2" ht="28.5" customHeight="1" x14ac:dyDescent="0.2">
      <c r="A6" s="24" t="s">
        <v>20</v>
      </c>
      <c r="B6" s="20"/>
    </row>
    <row r="7" spans="1:2" ht="30" x14ac:dyDescent="0.2">
      <c r="A7" s="24" t="s">
        <v>17</v>
      </c>
      <c r="B7" s="29">
        <f>'GASTOS DE PERSONAL'!M13</f>
        <v>0</v>
      </c>
    </row>
    <row r="8" spans="1:2" x14ac:dyDescent="0.2">
      <c r="A8" s="16" t="s">
        <v>72</v>
      </c>
      <c r="B8" s="25"/>
    </row>
    <row r="9" spans="1:2" x14ac:dyDescent="0.2">
      <c r="A9" s="16" t="s">
        <v>73</v>
      </c>
      <c r="B9" s="25"/>
    </row>
    <row r="10" spans="1:2" ht="30" x14ac:dyDescent="0.2">
      <c r="A10" s="24" t="s">
        <v>146</v>
      </c>
      <c r="B10" s="20"/>
    </row>
    <row r="11" spans="1:2" ht="15.75" x14ac:dyDescent="0.25">
      <c r="A11" s="251" t="s">
        <v>23</v>
      </c>
      <c r="B11" s="252"/>
    </row>
    <row r="12" spans="1:2" x14ac:dyDescent="0.2">
      <c r="A12" s="23" t="s">
        <v>21</v>
      </c>
      <c r="B12" s="25"/>
    </row>
    <row r="13" spans="1:2" ht="18.75" x14ac:dyDescent="0.3">
      <c r="A13" s="24" t="s">
        <v>22</v>
      </c>
      <c r="B13" s="13">
        <f>DEPRECIACION!B28</f>
        <v>8560000</v>
      </c>
    </row>
    <row r="14" spans="1:2" ht="15.75" x14ac:dyDescent="0.25">
      <c r="A14" s="251" t="s">
        <v>25</v>
      </c>
      <c r="B14" s="252"/>
    </row>
    <row r="15" spans="1:2" x14ac:dyDescent="0.2">
      <c r="A15" s="24" t="s">
        <v>26</v>
      </c>
      <c r="B15" s="29"/>
    </row>
    <row r="16" spans="1:2" ht="15.75" x14ac:dyDescent="0.25">
      <c r="A16" s="31" t="s">
        <v>28</v>
      </c>
      <c r="B16" s="32">
        <f>SUM(B4:B10,B12:B13,B15)</f>
        <v>8560000</v>
      </c>
    </row>
  </sheetData>
  <mergeCells count="4">
    <mergeCell ref="A3:B3"/>
    <mergeCell ref="A11:B11"/>
    <mergeCell ref="A14:B14"/>
    <mergeCell ref="A1:B1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61306"/>
  </sheetPr>
  <dimension ref="A1:P13"/>
  <sheetViews>
    <sheetView workbookViewId="0">
      <selection activeCell="H4" sqref="H4:H11"/>
    </sheetView>
  </sheetViews>
  <sheetFormatPr baseColWidth="10" defaultRowHeight="12.75" x14ac:dyDescent="0.2"/>
  <cols>
    <col min="1" max="1" width="28.140625" style="48" bestFit="1" customWidth="1"/>
    <col min="2" max="2" width="18.85546875" style="48" bestFit="1" customWidth="1"/>
    <col min="3" max="4" width="12.85546875" style="48" bestFit="1" customWidth="1"/>
    <col min="5" max="5" width="12.85546875" style="48" customWidth="1"/>
    <col min="6" max="6" width="13.7109375" style="48" bestFit="1" customWidth="1"/>
    <col min="7" max="7" width="12.85546875" style="48" bestFit="1" customWidth="1"/>
    <col min="8" max="8" width="15.140625" style="48" bestFit="1" customWidth="1"/>
    <col min="9" max="10" width="15.140625" style="48" customWidth="1"/>
    <col min="11" max="12" width="12.85546875" style="48" bestFit="1" customWidth="1"/>
    <col min="13" max="13" width="15.5703125" style="48" bestFit="1" customWidth="1"/>
    <col min="14" max="14" width="7.140625" style="111" customWidth="1"/>
    <col min="15" max="15" width="29.28515625" style="48" bestFit="1" customWidth="1"/>
    <col min="16" max="16" width="14.42578125" style="48" bestFit="1" customWidth="1"/>
    <col min="17" max="16384" width="11.42578125" style="48"/>
  </cols>
  <sheetData>
    <row r="1" spans="1:16" ht="17.25" customHeight="1" x14ac:dyDescent="0.2">
      <c r="A1" s="254" t="s">
        <v>121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106"/>
    </row>
    <row r="2" spans="1:16" ht="27" customHeight="1" x14ac:dyDescent="0.2">
      <c r="A2" s="89"/>
      <c r="B2" s="89"/>
      <c r="C2" s="261" t="s">
        <v>129</v>
      </c>
      <c r="D2" s="262"/>
      <c r="E2" s="263"/>
      <c r="F2" s="257" t="s">
        <v>130</v>
      </c>
      <c r="G2" s="257"/>
      <c r="H2" s="257"/>
      <c r="I2" s="257"/>
      <c r="J2" s="257"/>
      <c r="K2" s="258" t="s">
        <v>177</v>
      </c>
      <c r="L2" s="258"/>
      <c r="M2" s="259" t="s">
        <v>182</v>
      </c>
      <c r="N2" s="106"/>
    </row>
    <row r="3" spans="1:16" ht="38.25" x14ac:dyDescent="0.2">
      <c r="A3" s="89" t="s">
        <v>119</v>
      </c>
      <c r="B3" s="89" t="s">
        <v>120</v>
      </c>
      <c r="C3" s="89" t="s">
        <v>127</v>
      </c>
      <c r="D3" s="89" t="s">
        <v>128</v>
      </c>
      <c r="E3" s="93" t="s">
        <v>183</v>
      </c>
      <c r="F3" s="101" t="s">
        <v>124</v>
      </c>
      <c r="G3" s="101" t="s">
        <v>122</v>
      </c>
      <c r="H3" s="93" t="s">
        <v>178</v>
      </c>
      <c r="I3" s="99" t="s">
        <v>123</v>
      </c>
      <c r="J3" s="55" t="s">
        <v>184</v>
      </c>
      <c r="K3" s="93" t="s">
        <v>125</v>
      </c>
      <c r="L3" s="89" t="s">
        <v>126</v>
      </c>
      <c r="M3" s="260"/>
      <c r="N3" s="107"/>
      <c r="O3" s="39" t="s">
        <v>176</v>
      </c>
      <c r="P3" s="39" t="s">
        <v>3</v>
      </c>
    </row>
    <row r="4" spans="1:16" s="111" customFormat="1" x14ac:dyDescent="0.2">
      <c r="A4" s="87" t="s">
        <v>82</v>
      </c>
      <c r="B4" s="91"/>
      <c r="C4" s="112"/>
      <c r="D4" s="112"/>
      <c r="E4" s="114">
        <f>C4+D4</f>
        <v>0</v>
      </c>
      <c r="F4" s="116">
        <f t="shared" ref="F4:F11" si="0">B4*4/100</f>
        <v>0</v>
      </c>
      <c r="G4" s="116">
        <f t="shared" ref="G4:G11" si="1">B4*8/100</f>
        <v>0</v>
      </c>
      <c r="H4" s="91"/>
      <c r="I4" s="113">
        <f t="shared" ref="I4:I11" si="2">G4*1/100</f>
        <v>0</v>
      </c>
      <c r="J4" s="117">
        <f>B4+H4</f>
        <v>0</v>
      </c>
      <c r="K4" s="114">
        <f>B4*8/100*2</f>
        <v>0</v>
      </c>
      <c r="L4" s="115">
        <f t="shared" ref="L4:L11" si="3">B4*12/100</f>
        <v>0</v>
      </c>
      <c r="M4" s="118">
        <f>J4-E4</f>
        <v>0</v>
      </c>
      <c r="N4" s="107"/>
      <c r="O4" s="87" t="s">
        <v>179</v>
      </c>
      <c r="P4" s="105">
        <f>M12*2/100</f>
        <v>0</v>
      </c>
    </row>
    <row r="5" spans="1:16" s="111" customFormat="1" x14ac:dyDescent="0.2">
      <c r="A5" s="87" t="s">
        <v>76</v>
      </c>
      <c r="B5" s="91"/>
      <c r="C5" s="112"/>
      <c r="D5" s="112"/>
      <c r="E5" s="114">
        <f>C5+D5</f>
        <v>0</v>
      </c>
      <c r="F5" s="116">
        <f t="shared" si="0"/>
        <v>0</v>
      </c>
      <c r="G5" s="116">
        <f t="shared" si="1"/>
        <v>0</v>
      </c>
      <c r="H5" s="91"/>
      <c r="I5" s="113">
        <f t="shared" si="2"/>
        <v>0</v>
      </c>
      <c r="J5" s="117">
        <f>B5+H5</f>
        <v>0</v>
      </c>
      <c r="K5" s="114">
        <f>B5*8/100*2</f>
        <v>0</v>
      </c>
      <c r="L5" s="115">
        <f t="shared" si="3"/>
        <v>0</v>
      </c>
      <c r="M5" s="118">
        <f>J5-E5</f>
        <v>0</v>
      </c>
      <c r="N5" s="107"/>
      <c r="O5" s="87" t="s">
        <v>180</v>
      </c>
      <c r="P5" s="105">
        <f>M12*3/100</f>
        <v>0</v>
      </c>
    </row>
    <row r="6" spans="1:16" x14ac:dyDescent="0.2">
      <c r="A6" s="87" t="s">
        <v>75</v>
      </c>
      <c r="B6" s="91"/>
      <c r="C6" s="91"/>
      <c r="D6" s="91"/>
      <c r="E6" s="98">
        <f>C6+D6</f>
        <v>0</v>
      </c>
      <c r="F6" s="100">
        <f t="shared" si="0"/>
        <v>0</v>
      </c>
      <c r="G6" s="100">
        <f t="shared" si="1"/>
        <v>0</v>
      </c>
      <c r="H6" s="91"/>
      <c r="I6" s="100">
        <f t="shared" si="2"/>
        <v>0</v>
      </c>
      <c r="J6" s="98">
        <f>B6+H6</f>
        <v>0</v>
      </c>
      <c r="K6" s="98">
        <f>B6*8/100*2</f>
        <v>0</v>
      </c>
      <c r="L6" s="98">
        <f t="shared" si="3"/>
        <v>0</v>
      </c>
      <c r="M6" s="98">
        <f>J6-E6</f>
        <v>0</v>
      </c>
      <c r="N6" s="108"/>
      <c r="O6" s="87" t="s">
        <v>181</v>
      </c>
      <c r="P6" s="105">
        <f>M12*4/100</f>
        <v>0</v>
      </c>
    </row>
    <row r="7" spans="1:16" x14ac:dyDescent="0.2">
      <c r="A7" s="91" t="s">
        <v>81</v>
      </c>
      <c r="B7" s="91"/>
      <c r="C7" s="91"/>
      <c r="D7" s="91"/>
      <c r="E7" s="98">
        <f t="shared" ref="E7:E11" si="4">C7+D7</f>
        <v>0</v>
      </c>
      <c r="F7" s="100">
        <f t="shared" si="0"/>
        <v>0</v>
      </c>
      <c r="G7" s="100">
        <f t="shared" si="1"/>
        <v>0</v>
      </c>
      <c r="H7" s="91"/>
      <c r="I7" s="100">
        <f t="shared" si="2"/>
        <v>0</v>
      </c>
      <c r="J7" s="98">
        <f t="shared" ref="J7:J11" si="5">B7+H7</f>
        <v>0</v>
      </c>
      <c r="K7" s="98">
        <f t="shared" ref="K7:K11" si="6">B7*8/100*2</f>
        <v>0</v>
      </c>
      <c r="L7" s="98">
        <f t="shared" si="3"/>
        <v>0</v>
      </c>
      <c r="M7" s="98">
        <f t="shared" ref="M7:M11" si="7">J7-E7</f>
        <v>0</v>
      </c>
      <c r="N7" s="108"/>
      <c r="O7" s="119" t="s">
        <v>186</v>
      </c>
      <c r="P7" s="120">
        <f>K12+L12</f>
        <v>0</v>
      </c>
    </row>
    <row r="8" spans="1:16" x14ac:dyDescent="0.2">
      <c r="A8" s="96" t="s">
        <v>80</v>
      </c>
      <c r="B8" s="91"/>
      <c r="C8" s="91"/>
      <c r="D8" s="91"/>
      <c r="E8" s="98">
        <f t="shared" si="4"/>
        <v>0</v>
      </c>
      <c r="F8" s="100">
        <f t="shared" si="0"/>
        <v>0</v>
      </c>
      <c r="G8" s="100">
        <f t="shared" si="1"/>
        <v>0</v>
      </c>
      <c r="H8" s="91"/>
      <c r="I8" s="100">
        <f t="shared" si="2"/>
        <v>0</v>
      </c>
      <c r="J8" s="98">
        <f t="shared" si="5"/>
        <v>0</v>
      </c>
      <c r="K8" s="98">
        <f t="shared" si="6"/>
        <v>0</v>
      </c>
      <c r="L8" s="98">
        <f t="shared" si="3"/>
        <v>0</v>
      </c>
      <c r="M8" s="98">
        <f t="shared" si="7"/>
        <v>0</v>
      </c>
      <c r="N8" s="108"/>
      <c r="O8" s="95" t="s">
        <v>27</v>
      </c>
      <c r="P8" s="94">
        <f>SUM(P4:P7)</f>
        <v>0</v>
      </c>
    </row>
    <row r="9" spans="1:16" x14ac:dyDescent="0.2">
      <c r="A9" s="96" t="s">
        <v>79</v>
      </c>
      <c r="B9" s="91"/>
      <c r="C9" s="91"/>
      <c r="D9" s="91"/>
      <c r="E9" s="98">
        <f t="shared" si="4"/>
        <v>0</v>
      </c>
      <c r="F9" s="100">
        <f t="shared" si="0"/>
        <v>0</v>
      </c>
      <c r="G9" s="100">
        <f t="shared" si="1"/>
        <v>0</v>
      </c>
      <c r="H9" s="91"/>
      <c r="I9" s="100">
        <f t="shared" si="2"/>
        <v>0</v>
      </c>
      <c r="J9" s="98">
        <f t="shared" si="5"/>
        <v>0</v>
      </c>
      <c r="K9" s="98">
        <f t="shared" si="6"/>
        <v>0</v>
      </c>
      <c r="L9" s="98">
        <f t="shared" si="3"/>
        <v>0</v>
      </c>
      <c r="M9" s="98">
        <f t="shared" si="7"/>
        <v>0</v>
      </c>
      <c r="N9" s="108"/>
      <c r="O9" s="104"/>
      <c r="P9" s="104"/>
    </row>
    <row r="10" spans="1:16" x14ac:dyDescent="0.2">
      <c r="A10" s="96" t="s">
        <v>78</v>
      </c>
      <c r="B10" s="91"/>
      <c r="C10" s="91"/>
      <c r="D10" s="91"/>
      <c r="E10" s="98">
        <f t="shared" si="4"/>
        <v>0</v>
      </c>
      <c r="F10" s="100">
        <f t="shared" si="0"/>
        <v>0</v>
      </c>
      <c r="G10" s="100">
        <f t="shared" si="1"/>
        <v>0</v>
      </c>
      <c r="H10" s="91"/>
      <c r="I10" s="100">
        <f t="shared" si="2"/>
        <v>0</v>
      </c>
      <c r="J10" s="98">
        <f t="shared" si="5"/>
        <v>0</v>
      </c>
      <c r="K10" s="98">
        <f t="shared" si="6"/>
        <v>0</v>
      </c>
      <c r="L10" s="98">
        <f t="shared" si="3"/>
        <v>0</v>
      </c>
      <c r="M10" s="98">
        <f t="shared" si="7"/>
        <v>0</v>
      </c>
      <c r="N10" s="108"/>
      <c r="O10" s="88"/>
    </row>
    <row r="11" spans="1:16" x14ac:dyDescent="0.2">
      <c r="A11" s="96" t="s">
        <v>77</v>
      </c>
      <c r="B11" s="91"/>
      <c r="C11" s="91"/>
      <c r="D11" s="91"/>
      <c r="E11" s="98">
        <f t="shared" si="4"/>
        <v>0</v>
      </c>
      <c r="F11" s="100">
        <f t="shared" si="0"/>
        <v>0</v>
      </c>
      <c r="G11" s="100">
        <f t="shared" si="1"/>
        <v>0</v>
      </c>
      <c r="H11" s="91"/>
      <c r="I11" s="100">
        <f t="shared" si="2"/>
        <v>0</v>
      </c>
      <c r="J11" s="98">
        <f t="shared" si="5"/>
        <v>0</v>
      </c>
      <c r="K11" s="98">
        <f t="shared" si="6"/>
        <v>0</v>
      </c>
      <c r="L11" s="98">
        <f t="shared" si="3"/>
        <v>0</v>
      </c>
      <c r="M11" s="98">
        <f t="shared" si="7"/>
        <v>0</v>
      </c>
      <c r="N11" s="108"/>
      <c r="O11" s="88"/>
    </row>
    <row r="12" spans="1:16" s="104" customFormat="1" ht="17.25" customHeight="1" x14ac:dyDescent="0.2">
      <c r="A12" s="59" t="s">
        <v>185</v>
      </c>
      <c r="B12" s="102">
        <f>SUM(B6:B11)</f>
        <v>0</v>
      </c>
      <c r="C12" s="102">
        <f t="shared" ref="C12:L12" si="8">SUM(C6:C11)</f>
        <v>0</v>
      </c>
      <c r="D12" s="102">
        <f t="shared" si="8"/>
        <v>0</v>
      </c>
      <c r="E12" s="102">
        <f>SUM(E6:E11)</f>
        <v>0</v>
      </c>
      <c r="F12" s="102">
        <f>SUM(F6:F11)</f>
        <v>0</v>
      </c>
      <c r="G12" s="102">
        <f t="shared" si="8"/>
        <v>0</v>
      </c>
      <c r="H12" s="102">
        <f>SUM(H4:H11)</f>
        <v>0</v>
      </c>
      <c r="I12" s="102">
        <f>SUM(I6:I11)</f>
        <v>0</v>
      </c>
      <c r="J12" s="103">
        <f>SUM(J6:J11)</f>
        <v>0</v>
      </c>
      <c r="K12" s="102">
        <f t="shared" si="8"/>
        <v>0</v>
      </c>
      <c r="L12" s="102">
        <f t="shared" si="8"/>
        <v>0</v>
      </c>
      <c r="M12" s="102">
        <f>SUM(M6:M11)</f>
        <v>0</v>
      </c>
      <c r="N12" s="109"/>
      <c r="O12" s="48"/>
      <c r="P12" s="48"/>
    </row>
    <row r="13" spans="1:16" x14ac:dyDescent="0.2">
      <c r="A13" s="256" t="s">
        <v>187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121">
        <f>M12+P8</f>
        <v>0</v>
      </c>
      <c r="N13" s="110"/>
    </row>
  </sheetData>
  <mergeCells count="6">
    <mergeCell ref="A1:M1"/>
    <mergeCell ref="A13:L13"/>
    <mergeCell ref="F2:J2"/>
    <mergeCell ref="K2:L2"/>
    <mergeCell ref="M2:M3"/>
    <mergeCell ref="C2:E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29"/>
  <sheetViews>
    <sheetView zoomScaleNormal="100" workbookViewId="0">
      <pane ySplit="2" topLeftCell="A3" activePane="bottomLeft" state="frozen"/>
      <selection sqref="A1:M1"/>
      <selection pane="bottomLeft" activeCell="F24" sqref="F24"/>
    </sheetView>
  </sheetViews>
  <sheetFormatPr baseColWidth="10" defaultRowHeight="15" x14ac:dyDescent="0.25"/>
  <cols>
    <col min="1" max="1" width="50.85546875" style="10" bestFit="1" customWidth="1"/>
    <col min="2" max="2" width="18.7109375" style="10" bestFit="1" customWidth="1"/>
    <col min="3" max="3" width="14.5703125" style="15" bestFit="1" customWidth="1"/>
    <col min="4" max="4" width="23.5703125" style="15" bestFit="1" customWidth="1"/>
    <col min="5" max="5" width="20.140625" style="10" customWidth="1"/>
    <col min="6" max="16384" width="11.42578125" style="10"/>
  </cols>
  <sheetData>
    <row r="1" spans="1:5" ht="42" x14ac:dyDescent="0.25">
      <c r="A1" s="33" t="s">
        <v>61</v>
      </c>
      <c r="B1" s="33" t="s">
        <v>62</v>
      </c>
      <c r="C1" s="34" t="s">
        <v>59</v>
      </c>
      <c r="D1" s="34" t="s">
        <v>67</v>
      </c>
      <c r="E1" s="33" t="s">
        <v>64</v>
      </c>
    </row>
    <row r="2" spans="1:5" ht="21" x14ac:dyDescent="0.35">
      <c r="A2" s="264" t="s">
        <v>37</v>
      </c>
      <c r="B2" s="264"/>
      <c r="C2" s="264"/>
      <c r="D2" s="264"/>
      <c r="E2" s="264"/>
    </row>
    <row r="3" spans="1:5" x14ac:dyDescent="0.25">
      <c r="A3" s="11" t="s">
        <v>66</v>
      </c>
      <c r="B3" s="12">
        <v>750000</v>
      </c>
      <c r="C3" s="14">
        <v>1</v>
      </c>
      <c r="D3" s="14">
        <v>5</v>
      </c>
      <c r="E3" s="28">
        <f>B3/D3</f>
        <v>150000</v>
      </c>
    </row>
    <row r="4" spans="1:5" x14ac:dyDescent="0.25">
      <c r="A4" s="12" t="s">
        <v>36</v>
      </c>
      <c r="B4" s="12">
        <v>170000</v>
      </c>
      <c r="C4" s="14">
        <v>2</v>
      </c>
      <c r="D4" s="14">
        <v>3</v>
      </c>
      <c r="E4" s="28">
        <f t="shared" ref="E4:E14" si="0">B4/D4</f>
        <v>56666.666666666664</v>
      </c>
    </row>
    <row r="5" spans="1:5" x14ac:dyDescent="0.25">
      <c r="A5" s="12" t="s">
        <v>35</v>
      </c>
      <c r="B5" s="12">
        <v>120000</v>
      </c>
      <c r="C5" s="14">
        <v>1</v>
      </c>
      <c r="D5" s="14">
        <v>5</v>
      </c>
      <c r="E5" s="28">
        <f t="shared" si="0"/>
        <v>24000</v>
      </c>
    </row>
    <row r="6" spans="1:5" x14ac:dyDescent="0.25">
      <c r="A6" s="12" t="s">
        <v>34</v>
      </c>
      <c r="B6" s="12">
        <v>2500000</v>
      </c>
      <c r="C6" s="14">
        <v>2</v>
      </c>
      <c r="D6" s="14">
        <v>2</v>
      </c>
      <c r="E6" s="28">
        <f t="shared" si="0"/>
        <v>1250000</v>
      </c>
    </row>
    <row r="7" spans="1:5" x14ac:dyDescent="0.25">
      <c r="A7" s="12" t="s">
        <v>33</v>
      </c>
      <c r="B7" s="12">
        <v>1900000</v>
      </c>
      <c r="C7" s="14">
        <v>2</v>
      </c>
      <c r="D7" s="14">
        <v>2</v>
      </c>
      <c r="E7" s="28">
        <f t="shared" si="0"/>
        <v>950000</v>
      </c>
    </row>
    <row r="8" spans="1:5" x14ac:dyDescent="0.25">
      <c r="A8" s="12" t="s">
        <v>29</v>
      </c>
      <c r="B8" s="12">
        <v>270000</v>
      </c>
      <c r="C8" s="14">
        <v>2</v>
      </c>
      <c r="D8" s="14">
        <v>5</v>
      </c>
      <c r="E8" s="28">
        <f t="shared" si="0"/>
        <v>54000</v>
      </c>
    </row>
    <row r="9" spans="1:5" x14ac:dyDescent="0.25">
      <c r="A9" s="12" t="s">
        <v>32</v>
      </c>
      <c r="B9" s="12">
        <v>700000</v>
      </c>
      <c r="C9" s="14">
        <v>1</v>
      </c>
      <c r="D9" s="14">
        <v>2</v>
      </c>
      <c r="E9" s="28">
        <f t="shared" si="0"/>
        <v>350000</v>
      </c>
    </row>
    <row r="10" spans="1:5" x14ac:dyDescent="0.25">
      <c r="A10" s="12" t="s">
        <v>31</v>
      </c>
      <c r="B10" s="12">
        <v>700000</v>
      </c>
      <c r="C10" s="14">
        <v>1</v>
      </c>
      <c r="D10" s="14">
        <v>2</v>
      </c>
      <c r="E10" s="28">
        <f t="shared" si="0"/>
        <v>350000</v>
      </c>
    </row>
    <row r="11" spans="1:5" x14ac:dyDescent="0.25">
      <c r="A11" s="12" t="s">
        <v>68</v>
      </c>
      <c r="B11" s="12">
        <v>250000</v>
      </c>
      <c r="C11" s="14">
        <v>1</v>
      </c>
      <c r="D11" s="14">
        <v>1</v>
      </c>
      <c r="E11" s="28">
        <f t="shared" si="0"/>
        <v>250000</v>
      </c>
    </row>
    <row r="12" spans="1:5" x14ac:dyDescent="0.25">
      <c r="A12" s="12" t="s">
        <v>60</v>
      </c>
      <c r="B12" s="12">
        <v>1200000</v>
      </c>
      <c r="C12" s="14">
        <v>2</v>
      </c>
      <c r="D12" s="14">
        <v>1</v>
      </c>
      <c r="E12" s="28">
        <f t="shared" si="0"/>
        <v>1200000</v>
      </c>
    </row>
    <row r="13" spans="1:5" x14ac:dyDescent="0.25">
      <c r="A13" s="12" t="s">
        <v>30</v>
      </c>
      <c r="B13" s="12"/>
      <c r="C13" s="14"/>
      <c r="D13" s="14"/>
      <c r="E13" s="28" t="e">
        <f t="shared" ref="E13" si="1">B13/D13</f>
        <v>#DIV/0!</v>
      </c>
    </row>
    <row r="14" spans="1:5" x14ac:dyDescent="0.25">
      <c r="A14" s="12" t="s">
        <v>226</v>
      </c>
      <c r="B14" s="12"/>
      <c r="C14" s="14"/>
      <c r="D14" s="14"/>
      <c r="E14" s="28" t="e">
        <f t="shared" si="0"/>
        <v>#DIV/0!</v>
      </c>
    </row>
    <row r="15" spans="1:5" ht="18.75" x14ac:dyDescent="0.3">
      <c r="A15" s="265" t="s">
        <v>38</v>
      </c>
      <c r="B15" s="265"/>
      <c r="C15" s="265"/>
      <c r="D15" s="265"/>
      <c r="E15" s="265"/>
    </row>
    <row r="16" spans="1:5" x14ac:dyDescent="0.25">
      <c r="A16" s="12" t="s">
        <v>39</v>
      </c>
      <c r="B16" s="12"/>
      <c r="C16" s="14"/>
      <c r="D16" s="14"/>
      <c r="E16" s="28" t="e">
        <f t="shared" ref="E16:E27" si="2">B16/D16</f>
        <v>#DIV/0!</v>
      </c>
    </row>
    <row r="17" spans="1:5" x14ac:dyDescent="0.25">
      <c r="A17" s="12" t="s">
        <v>40</v>
      </c>
      <c r="B17" s="12"/>
      <c r="C17" s="14"/>
      <c r="D17" s="14"/>
      <c r="E17" s="28" t="e">
        <f t="shared" si="2"/>
        <v>#DIV/0!</v>
      </c>
    </row>
    <row r="18" spans="1:5" x14ac:dyDescent="0.25">
      <c r="A18" s="12" t="s">
        <v>41</v>
      </c>
      <c r="B18" s="12"/>
      <c r="C18" s="14"/>
      <c r="D18" s="14"/>
      <c r="E18" s="28" t="e">
        <f t="shared" si="2"/>
        <v>#DIV/0!</v>
      </c>
    </row>
    <row r="19" spans="1:5" ht="18.75" x14ac:dyDescent="0.3">
      <c r="A19" s="265" t="s">
        <v>42</v>
      </c>
      <c r="B19" s="265"/>
      <c r="C19" s="265"/>
      <c r="D19" s="265"/>
      <c r="E19" s="265"/>
    </row>
    <row r="20" spans="1:5" x14ac:dyDescent="0.25">
      <c r="A20" s="12" t="s">
        <v>43</v>
      </c>
      <c r="B20" s="12"/>
      <c r="C20" s="14"/>
      <c r="D20" s="14"/>
      <c r="E20" s="28" t="e">
        <f t="shared" si="2"/>
        <v>#DIV/0!</v>
      </c>
    </row>
    <row r="21" spans="1:5" x14ac:dyDescent="0.25">
      <c r="A21" s="12" t="s">
        <v>44</v>
      </c>
      <c r="B21" s="12"/>
      <c r="C21" s="14"/>
      <c r="D21" s="14"/>
      <c r="E21" s="28" t="e">
        <f t="shared" si="2"/>
        <v>#DIV/0!</v>
      </c>
    </row>
    <row r="22" spans="1:5" x14ac:dyDescent="0.25">
      <c r="A22" s="12" t="s">
        <v>45</v>
      </c>
      <c r="B22" s="12"/>
      <c r="C22" s="14"/>
      <c r="D22" s="14"/>
      <c r="E22" s="28" t="e">
        <f t="shared" si="2"/>
        <v>#DIV/0!</v>
      </c>
    </row>
    <row r="23" spans="1:5" x14ac:dyDescent="0.25">
      <c r="A23" s="12" t="s">
        <v>46</v>
      </c>
      <c r="B23" s="12"/>
      <c r="C23" s="14"/>
      <c r="D23" s="14"/>
      <c r="E23" s="28" t="e">
        <f t="shared" si="2"/>
        <v>#DIV/0!</v>
      </c>
    </row>
    <row r="24" spans="1:5" x14ac:dyDescent="0.25">
      <c r="A24" s="12" t="s">
        <v>47</v>
      </c>
      <c r="B24" s="12"/>
      <c r="C24" s="14"/>
      <c r="D24" s="14"/>
      <c r="E24" s="28" t="e">
        <f t="shared" si="2"/>
        <v>#DIV/0!</v>
      </c>
    </row>
    <row r="25" spans="1:5" x14ac:dyDescent="0.25">
      <c r="A25" s="12" t="s">
        <v>48</v>
      </c>
      <c r="B25" s="12"/>
      <c r="C25" s="14"/>
      <c r="D25" s="14"/>
      <c r="E25" s="28" t="e">
        <f t="shared" si="2"/>
        <v>#DIV/0!</v>
      </c>
    </row>
    <row r="26" spans="1:5" x14ac:dyDescent="0.25">
      <c r="A26" s="12" t="s">
        <v>49</v>
      </c>
      <c r="B26" s="12"/>
      <c r="C26" s="14"/>
      <c r="D26" s="14"/>
      <c r="E26" s="28" t="e">
        <f t="shared" si="2"/>
        <v>#DIV/0!</v>
      </c>
    </row>
    <row r="27" spans="1:5" x14ac:dyDescent="0.25">
      <c r="A27" s="12" t="s">
        <v>50</v>
      </c>
      <c r="B27" s="12"/>
      <c r="C27" s="14"/>
      <c r="D27" s="14"/>
      <c r="E27" s="28" t="e">
        <f t="shared" si="2"/>
        <v>#DIV/0!</v>
      </c>
    </row>
    <row r="28" spans="1:5" ht="18.75" x14ac:dyDescent="0.3">
      <c r="A28" s="35" t="s">
        <v>147</v>
      </c>
      <c r="B28" s="36">
        <f>SUM(B3:B14,B16:B18,B20:B27)</f>
        <v>8560000</v>
      </c>
      <c r="C28" s="37">
        <f>SUM(C3:C14,C16:C18,C20:C27)</f>
        <v>15</v>
      </c>
      <c r="D28" s="37">
        <f>SUM(D3:D14,D16:D18,D20:D26)/24</f>
        <v>1.1666666666666667</v>
      </c>
      <c r="E28" s="269" t="e">
        <f>SUM(E3:E14,E16:E18,E20:E27)</f>
        <v>#DIV/0!</v>
      </c>
    </row>
    <row r="29" spans="1:5" ht="18.75" x14ac:dyDescent="0.3">
      <c r="A29" s="266" t="s">
        <v>63</v>
      </c>
      <c r="B29" s="267"/>
      <c r="C29" s="267"/>
      <c r="D29" s="268"/>
      <c r="E29" s="270"/>
    </row>
  </sheetData>
  <mergeCells count="5">
    <mergeCell ref="A2:E2"/>
    <mergeCell ref="A15:E15"/>
    <mergeCell ref="A19:E19"/>
    <mergeCell ref="A29:D29"/>
    <mergeCell ref="E28:E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F49"/>
  <sheetViews>
    <sheetView workbookViewId="0">
      <pane ySplit="2" topLeftCell="A27" activePane="bottomLeft" state="frozen"/>
      <selection sqref="A1:M1"/>
      <selection pane="bottomLeft" activeCell="C45" sqref="C45"/>
    </sheetView>
  </sheetViews>
  <sheetFormatPr baseColWidth="10" defaultRowHeight="12.75" customHeight="1" x14ac:dyDescent="0.2"/>
  <cols>
    <col min="1" max="1" width="50" style="38" customWidth="1"/>
    <col min="2" max="2" width="12.42578125" style="48" customWidth="1"/>
    <col min="3" max="4" width="12.42578125" style="38" customWidth="1"/>
    <col min="5" max="5" width="12.42578125" style="52" customWidth="1"/>
    <col min="6" max="16384" width="11.42578125" style="38"/>
  </cols>
  <sheetData>
    <row r="1" spans="1:6" s="56" customFormat="1" ht="25.5" x14ac:dyDescent="0.25">
      <c r="A1" s="57" t="s">
        <v>88</v>
      </c>
      <c r="B1" s="57" t="s">
        <v>3</v>
      </c>
      <c r="C1" s="57" t="s">
        <v>152</v>
      </c>
      <c r="D1" s="57" t="s">
        <v>87</v>
      </c>
      <c r="E1" s="58" t="s">
        <v>131</v>
      </c>
    </row>
    <row r="2" spans="1:6" s="56" customFormat="1" x14ac:dyDescent="0.25">
      <c r="A2" s="271" t="s">
        <v>140</v>
      </c>
      <c r="B2" s="272"/>
      <c r="C2" s="272"/>
      <c r="D2" s="272"/>
      <c r="E2" s="273"/>
    </row>
    <row r="3" spans="1:6" s="56" customFormat="1" x14ac:dyDescent="0.2">
      <c r="A3" s="43" t="s">
        <v>86</v>
      </c>
      <c r="B3" s="47">
        <v>70000</v>
      </c>
      <c r="C3" s="41">
        <v>1</v>
      </c>
      <c r="D3" s="61"/>
      <c r="E3" s="51">
        <f>(B3*C3)</f>
        <v>70000</v>
      </c>
    </row>
    <row r="4" spans="1:6" s="56" customFormat="1" x14ac:dyDescent="0.2">
      <c r="A4" s="43" t="s">
        <v>85</v>
      </c>
      <c r="B4" s="47">
        <v>90000</v>
      </c>
      <c r="C4" s="41">
        <v>1</v>
      </c>
      <c r="D4" s="61"/>
      <c r="E4" s="51">
        <f t="shared" ref="E4:E7" si="0">(B4*C4)</f>
        <v>90000</v>
      </c>
    </row>
    <row r="5" spans="1:6" s="56" customFormat="1" x14ac:dyDescent="0.2">
      <c r="A5" s="43" t="s">
        <v>84</v>
      </c>
      <c r="B5" s="47">
        <v>50000</v>
      </c>
      <c r="C5" s="41">
        <v>1</v>
      </c>
      <c r="D5" s="61"/>
      <c r="E5" s="51">
        <f t="shared" si="0"/>
        <v>50000</v>
      </c>
    </row>
    <row r="6" spans="1:6" s="56" customFormat="1" x14ac:dyDescent="0.2">
      <c r="A6" s="41" t="s">
        <v>83</v>
      </c>
      <c r="B6" s="47">
        <v>50000</v>
      </c>
      <c r="C6" s="41">
        <v>1</v>
      </c>
      <c r="D6" s="61"/>
      <c r="E6" s="51">
        <f t="shared" si="0"/>
        <v>50000</v>
      </c>
    </row>
    <row r="7" spans="1:6" s="56" customFormat="1" x14ac:dyDescent="0.25">
      <c r="A7" s="65" t="s">
        <v>157</v>
      </c>
      <c r="B7" s="63">
        <v>50000</v>
      </c>
      <c r="C7" s="63">
        <v>1</v>
      </c>
      <c r="D7" s="61"/>
      <c r="E7" s="51">
        <f t="shared" si="0"/>
        <v>50000</v>
      </c>
    </row>
    <row r="8" spans="1:6" s="56" customFormat="1" x14ac:dyDescent="0.25">
      <c r="A8" s="65" t="s">
        <v>158</v>
      </c>
      <c r="B8" s="63"/>
      <c r="C8" s="63">
        <v>1</v>
      </c>
      <c r="D8" s="61"/>
      <c r="E8" s="51">
        <v>12000000</v>
      </c>
      <c r="F8" s="66" t="s">
        <v>159</v>
      </c>
    </row>
    <row r="9" spans="1:6" s="56" customFormat="1" x14ac:dyDescent="0.25">
      <c r="A9" s="62" t="s">
        <v>156</v>
      </c>
      <c r="B9" s="64">
        <f>SUM(DEPRECIACION!B16:B18,DEPRECIACION!B20:B27)</f>
        <v>0</v>
      </c>
      <c r="C9" s="63">
        <v>1</v>
      </c>
      <c r="D9" s="61"/>
      <c r="E9" s="51">
        <f>(B9*C9)</f>
        <v>0</v>
      </c>
    </row>
    <row r="10" spans="1:6" s="56" customFormat="1" x14ac:dyDescent="0.25">
      <c r="A10" s="274" t="s">
        <v>27</v>
      </c>
      <c r="B10" s="275"/>
      <c r="C10" s="275"/>
      <c r="D10" s="276"/>
      <c r="E10" s="68">
        <f>SUM(E3:E9)</f>
        <v>12310000</v>
      </c>
    </row>
    <row r="11" spans="1:6" ht="12.75" customHeight="1" x14ac:dyDescent="0.25">
      <c r="A11" s="279" t="s">
        <v>137</v>
      </c>
      <c r="B11" s="279"/>
      <c r="C11" s="279"/>
      <c r="D11" s="279"/>
      <c r="E11" s="279"/>
    </row>
    <row r="12" spans="1:6" ht="12.75" customHeight="1" x14ac:dyDescent="0.25">
      <c r="A12" s="281" t="s">
        <v>51</v>
      </c>
      <c r="B12" s="281"/>
      <c r="C12" s="281"/>
      <c r="D12" s="281"/>
      <c r="E12" s="281"/>
    </row>
    <row r="13" spans="1:6" ht="12.75" customHeight="1" x14ac:dyDescent="0.2">
      <c r="A13" s="40" t="s">
        <v>55</v>
      </c>
      <c r="B13" s="49">
        <v>70000</v>
      </c>
      <c r="C13" s="41">
        <v>1</v>
      </c>
      <c r="D13" s="41" t="s">
        <v>149</v>
      </c>
      <c r="E13" s="51">
        <f>(B13*C13)</f>
        <v>70000</v>
      </c>
    </row>
    <row r="14" spans="1:6" ht="12.75" customHeight="1" x14ac:dyDescent="0.2">
      <c r="A14" s="40" t="s">
        <v>56</v>
      </c>
      <c r="B14" s="49">
        <v>70000</v>
      </c>
      <c r="C14" s="41">
        <v>1</v>
      </c>
      <c r="D14" s="41" t="s">
        <v>149</v>
      </c>
      <c r="E14" s="51">
        <f t="shared" ref="E14:E24" si="1">(B14*C14)</f>
        <v>70000</v>
      </c>
    </row>
    <row r="15" spans="1:6" ht="12.75" customHeight="1" x14ac:dyDescent="0.2">
      <c r="A15" s="40" t="s">
        <v>57</v>
      </c>
      <c r="B15" s="49">
        <v>70000</v>
      </c>
      <c r="C15" s="41">
        <v>1</v>
      </c>
      <c r="D15" s="41" t="s">
        <v>149</v>
      </c>
      <c r="E15" s="51">
        <f t="shared" si="1"/>
        <v>70000</v>
      </c>
    </row>
    <row r="16" spans="1:6" ht="12.75" customHeight="1" x14ac:dyDescent="0.2">
      <c r="A16" s="40" t="s">
        <v>58</v>
      </c>
      <c r="B16" s="49">
        <v>70000</v>
      </c>
      <c r="C16" s="41">
        <v>1</v>
      </c>
      <c r="D16" s="41" t="s">
        <v>149</v>
      </c>
      <c r="E16" s="51">
        <f t="shared" si="1"/>
        <v>70000</v>
      </c>
    </row>
    <row r="17" spans="1:5" ht="12.75" customHeight="1" x14ac:dyDescent="0.25">
      <c r="A17" s="280" t="s">
        <v>27</v>
      </c>
      <c r="B17" s="280"/>
      <c r="C17" s="280"/>
      <c r="D17" s="280"/>
      <c r="E17" s="68">
        <f>SUM(E13:E16)</f>
        <v>280000</v>
      </c>
    </row>
    <row r="18" spans="1:5" ht="12.75" customHeight="1" x14ac:dyDescent="0.25">
      <c r="A18" s="281" t="s">
        <v>148</v>
      </c>
      <c r="B18" s="281"/>
      <c r="C18" s="281"/>
      <c r="D18" s="281"/>
      <c r="E18" s="281"/>
    </row>
    <row r="19" spans="1:5" ht="12.75" customHeight="1" x14ac:dyDescent="0.2">
      <c r="A19" s="42" t="s">
        <v>52</v>
      </c>
      <c r="B19" s="47">
        <v>20000</v>
      </c>
      <c r="C19" s="41">
        <v>1</v>
      </c>
      <c r="D19" s="41" t="s">
        <v>150</v>
      </c>
      <c r="E19" s="51">
        <f t="shared" si="1"/>
        <v>20000</v>
      </c>
    </row>
    <row r="20" spans="1:5" ht="12.75" customHeight="1" x14ac:dyDescent="0.2">
      <c r="A20" s="42" t="s">
        <v>54</v>
      </c>
      <c r="B20" s="47">
        <v>20000</v>
      </c>
      <c r="C20" s="41">
        <v>1</v>
      </c>
      <c r="D20" s="41" t="s">
        <v>150</v>
      </c>
      <c r="E20" s="51">
        <f t="shared" si="1"/>
        <v>20000</v>
      </c>
    </row>
    <row r="21" spans="1:5" ht="12.75" customHeight="1" x14ac:dyDescent="0.2">
      <c r="A21" s="42" t="s">
        <v>53</v>
      </c>
      <c r="B21" s="47">
        <v>20000</v>
      </c>
      <c r="C21" s="41">
        <v>1</v>
      </c>
      <c r="D21" s="41" t="s">
        <v>150</v>
      </c>
      <c r="E21" s="51">
        <f t="shared" si="1"/>
        <v>20000</v>
      </c>
    </row>
    <row r="22" spans="1:5" ht="12.75" customHeight="1" x14ac:dyDescent="0.2">
      <c r="A22" s="42" t="s">
        <v>89</v>
      </c>
      <c r="B22" s="47">
        <v>50000</v>
      </c>
      <c r="C22" s="41">
        <v>1</v>
      </c>
      <c r="D22" s="41" t="s">
        <v>151</v>
      </c>
      <c r="E22" s="51">
        <f t="shared" si="1"/>
        <v>50000</v>
      </c>
    </row>
    <row r="23" spans="1:5" ht="12.75" customHeight="1" x14ac:dyDescent="0.2">
      <c r="A23" s="42" t="s">
        <v>90</v>
      </c>
      <c r="B23" s="47">
        <v>40000</v>
      </c>
      <c r="C23" s="41">
        <v>1</v>
      </c>
      <c r="D23" s="41" t="s">
        <v>151</v>
      </c>
      <c r="E23" s="51">
        <f t="shared" si="1"/>
        <v>40000</v>
      </c>
    </row>
    <row r="24" spans="1:5" ht="12.75" customHeight="1" x14ac:dyDescent="0.2">
      <c r="A24" s="42" t="s">
        <v>155</v>
      </c>
      <c r="B24" s="47">
        <v>150000</v>
      </c>
      <c r="C24" s="41">
        <v>1</v>
      </c>
      <c r="D24" s="41"/>
      <c r="E24" s="51">
        <f t="shared" si="1"/>
        <v>150000</v>
      </c>
    </row>
    <row r="25" spans="1:5" ht="12.75" customHeight="1" x14ac:dyDescent="0.25">
      <c r="A25" s="274" t="s">
        <v>27</v>
      </c>
      <c r="B25" s="275"/>
      <c r="C25" s="275"/>
      <c r="D25" s="276"/>
      <c r="E25" s="68">
        <f>SUM(E19:E24)</f>
        <v>300000</v>
      </c>
    </row>
    <row r="26" spans="1:5" ht="12.75" customHeight="1" x14ac:dyDescent="0.25">
      <c r="A26" s="281" t="s">
        <v>74</v>
      </c>
      <c r="B26" s="281"/>
      <c r="C26" s="281"/>
      <c r="D26" s="281"/>
      <c r="E26" s="281"/>
    </row>
    <row r="27" spans="1:5" ht="12.75" customHeight="1" x14ac:dyDescent="0.2">
      <c r="A27" s="43" t="s">
        <v>86</v>
      </c>
      <c r="B27" s="47"/>
      <c r="C27" s="41"/>
      <c r="D27" s="41"/>
      <c r="E27" s="51">
        <f t="shared" ref="E27:E29" si="2">(B27*C27)</f>
        <v>0</v>
      </c>
    </row>
    <row r="28" spans="1:5" ht="12.75" customHeight="1" x14ac:dyDescent="0.2">
      <c r="A28" s="43" t="s">
        <v>85</v>
      </c>
      <c r="B28" s="47"/>
      <c r="C28" s="41"/>
      <c r="D28" s="41"/>
      <c r="E28" s="51">
        <f t="shared" si="2"/>
        <v>0</v>
      </c>
    </row>
    <row r="29" spans="1:5" ht="12.75" customHeight="1" x14ac:dyDescent="0.2">
      <c r="A29" s="43" t="s">
        <v>84</v>
      </c>
      <c r="B29" s="47"/>
      <c r="C29" s="41"/>
      <c r="D29" s="41"/>
      <c r="E29" s="51">
        <f t="shared" si="2"/>
        <v>0</v>
      </c>
    </row>
    <row r="30" spans="1:5" ht="12.75" customHeight="1" x14ac:dyDescent="0.2">
      <c r="A30" s="41" t="s">
        <v>83</v>
      </c>
      <c r="B30" s="47"/>
      <c r="C30" s="41"/>
      <c r="D30" s="41"/>
      <c r="E30" s="51">
        <f>(B30*C30)</f>
        <v>0</v>
      </c>
    </row>
    <row r="31" spans="1:5" ht="12.75" customHeight="1" x14ac:dyDescent="0.25">
      <c r="A31" s="69" t="s">
        <v>188</v>
      </c>
      <c r="B31" s="70"/>
      <c r="C31" s="70"/>
      <c r="D31" s="70"/>
      <c r="E31" s="51">
        <f>'GASTOS DE PERSONAL'!M13</f>
        <v>0</v>
      </c>
    </row>
    <row r="32" spans="1:5" ht="12.75" customHeight="1" x14ac:dyDescent="0.25">
      <c r="A32" s="59" t="s">
        <v>65</v>
      </c>
      <c r="B32" s="59"/>
      <c r="C32" s="71">
        <v>1</v>
      </c>
      <c r="D32" s="59"/>
      <c r="E32" s="68">
        <f>SUM(E27:E31)</f>
        <v>0</v>
      </c>
    </row>
    <row r="33" spans="1:5" ht="12.75" customHeight="1" x14ac:dyDescent="0.25">
      <c r="A33" s="279" t="s">
        <v>139</v>
      </c>
      <c r="B33" s="279"/>
      <c r="C33" s="279"/>
      <c r="D33" s="279"/>
      <c r="E33" s="279"/>
    </row>
    <row r="34" spans="1:5" ht="12.75" customHeight="1" x14ac:dyDescent="0.2">
      <c r="A34" s="44" t="s">
        <v>132</v>
      </c>
      <c r="B34" s="50"/>
      <c r="C34" s="44"/>
      <c r="D34" s="44"/>
      <c r="E34" s="51">
        <f t="shared" ref="E34:E38" si="3">(B34*C34)</f>
        <v>0</v>
      </c>
    </row>
    <row r="35" spans="1:5" ht="12.75" customHeight="1" x14ac:dyDescent="0.2">
      <c r="A35" s="44" t="s">
        <v>133</v>
      </c>
      <c r="B35" s="50"/>
      <c r="C35" s="44"/>
      <c r="D35" s="44"/>
      <c r="E35" s="51">
        <f t="shared" si="3"/>
        <v>0</v>
      </c>
    </row>
    <row r="36" spans="1:5" ht="12.75" customHeight="1" x14ac:dyDescent="0.2">
      <c r="A36" s="44" t="s">
        <v>134</v>
      </c>
      <c r="B36" s="50"/>
      <c r="C36" s="44"/>
      <c r="D36" s="44"/>
      <c r="E36" s="51">
        <f t="shared" si="3"/>
        <v>0</v>
      </c>
    </row>
    <row r="37" spans="1:5" ht="12.75" customHeight="1" x14ac:dyDescent="0.2">
      <c r="A37" s="44" t="s">
        <v>135</v>
      </c>
      <c r="B37" s="50"/>
      <c r="C37" s="44"/>
      <c r="D37" s="44"/>
      <c r="E37" s="51">
        <f t="shared" si="3"/>
        <v>0</v>
      </c>
    </row>
    <row r="38" spans="1:5" ht="12.75" customHeight="1" x14ac:dyDescent="0.2">
      <c r="A38" s="44" t="s">
        <v>136</v>
      </c>
      <c r="B38" s="50"/>
      <c r="C38" s="44"/>
      <c r="D38" s="44"/>
      <c r="E38" s="51">
        <f t="shared" si="3"/>
        <v>0</v>
      </c>
    </row>
    <row r="39" spans="1:5" s="45" customFormat="1" ht="12.75" customHeight="1" x14ac:dyDescent="0.25">
      <c r="A39" s="277" t="s">
        <v>27</v>
      </c>
      <c r="B39" s="277"/>
      <c r="C39" s="277"/>
      <c r="D39" s="277"/>
      <c r="E39" s="68">
        <f>SUM(E34:E38)</f>
        <v>0</v>
      </c>
    </row>
    <row r="40" spans="1:5" ht="12.75" customHeight="1" x14ac:dyDescent="0.25">
      <c r="A40" s="278" t="s">
        <v>153</v>
      </c>
      <c r="B40" s="278"/>
      <c r="C40" s="278"/>
      <c r="D40" s="278"/>
      <c r="E40" s="67">
        <f>SUM(E10+E17+E25+E32+E39)</f>
        <v>12890000</v>
      </c>
    </row>
    <row r="43" spans="1:5" s="46" customFormat="1" ht="12.75" customHeight="1" x14ac:dyDescent="0.25">
      <c r="A43" s="60" t="s">
        <v>154</v>
      </c>
      <c r="B43" s="60" t="s">
        <v>142</v>
      </c>
      <c r="C43" s="60" t="s">
        <v>143</v>
      </c>
      <c r="D43" s="60" t="s">
        <v>144</v>
      </c>
      <c r="E43" s="60" t="s">
        <v>145</v>
      </c>
    </row>
    <row r="44" spans="1:5" ht="12.75" customHeight="1" x14ac:dyDescent="0.25">
      <c r="A44" s="53" t="s">
        <v>140</v>
      </c>
      <c r="B44" s="54">
        <f>E10-E8</f>
        <v>310000</v>
      </c>
      <c r="C44" s="54">
        <f>(B44*3/100)+B44</f>
        <v>319300</v>
      </c>
      <c r="D44" s="54">
        <f t="shared" ref="D44:E44" si="4">(C44*3/100)+C44</f>
        <v>328879</v>
      </c>
      <c r="E44" s="54">
        <f t="shared" si="4"/>
        <v>338745.37</v>
      </c>
    </row>
    <row r="45" spans="1:5" ht="12.75" customHeight="1" x14ac:dyDescent="0.25">
      <c r="A45" s="53" t="s">
        <v>141</v>
      </c>
      <c r="B45" s="54">
        <f>SUM(E17+E25+E32)</f>
        <v>580000</v>
      </c>
      <c r="C45" s="54">
        <f t="shared" ref="C45:E46" si="5">(B45*3/100)+B45</f>
        <v>597400</v>
      </c>
      <c r="D45" s="54">
        <f t="shared" si="5"/>
        <v>615322</v>
      </c>
      <c r="E45" s="54">
        <f t="shared" si="5"/>
        <v>633781.66</v>
      </c>
    </row>
    <row r="46" spans="1:5" ht="12.75" customHeight="1" x14ac:dyDescent="0.25">
      <c r="A46" s="53" t="s">
        <v>138</v>
      </c>
      <c r="B46" s="54">
        <f>E39</f>
        <v>0</v>
      </c>
      <c r="C46" s="54">
        <f t="shared" si="5"/>
        <v>0</v>
      </c>
      <c r="D46" s="54">
        <f t="shared" si="5"/>
        <v>0</v>
      </c>
      <c r="E46" s="54">
        <f t="shared" si="5"/>
        <v>0</v>
      </c>
    </row>
    <row r="47" spans="1:5" ht="12.75" customHeight="1" x14ac:dyDescent="0.25">
      <c r="A47" s="59" t="s">
        <v>65</v>
      </c>
      <c r="B47" s="176">
        <f>SUM(B44:B46)</f>
        <v>890000</v>
      </c>
      <c r="C47" s="176">
        <f>SUM(C44:C46)</f>
        <v>916700</v>
      </c>
      <c r="D47" s="176">
        <f>SUM(D44:D46)</f>
        <v>944201</v>
      </c>
      <c r="E47" s="176">
        <f>SUM(E44:E46)</f>
        <v>972527.03</v>
      </c>
    </row>
    <row r="48" spans="1:5" ht="12.75" customHeight="1" x14ac:dyDescent="0.25">
      <c r="B48" s="38"/>
      <c r="E48" s="38"/>
    </row>
    <row r="49" spans="2:5" ht="12.75" customHeight="1" x14ac:dyDescent="0.25">
      <c r="B49" s="38"/>
      <c r="E49" s="38"/>
    </row>
  </sheetData>
  <mergeCells count="11">
    <mergeCell ref="A2:E2"/>
    <mergeCell ref="A10:D10"/>
    <mergeCell ref="A39:D39"/>
    <mergeCell ref="A40:D40"/>
    <mergeCell ref="A33:E33"/>
    <mergeCell ref="A11:E11"/>
    <mergeCell ref="A17:D17"/>
    <mergeCell ref="A25:D25"/>
    <mergeCell ref="A12:E12"/>
    <mergeCell ref="A18:E18"/>
    <mergeCell ref="A26:E26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25"/>
  <sheetViews>
    <sheetView topLeftCell="A7" zoomScaleNormal="100" workbookViewId="0">
      <selection activeCell="D18" sqref="D18"/>
    </sheetView>
  </sheetViews>
  <sheetFormatPr baseColWidth="10" defaultColWidth="54" defaultRowHeight="15.75" customHeight="1" x14ac:dyDescent="0.2"/>
  <cols>
    <col min="1" max="1" width="23.85546875" style="18" customWidth="1"/>
    <col min="2" max="2" width="14.5703125" style="18" customWidth="1"/>
    <col min="3" max="3" width="19.7109375" style="18" bestFit="1" customWidth="1"/>
    <col min="4" max="4" width="40.7109375" style="18" customWidth="1"/>
    <col min="5" max="5" width="38.140625" style="18" customWidth="1"/>
    <col min="6" max="6" width="29.42578125" style="22" customWidth="1"/>
    <col min="7" max="16384" width="54" style="18"/>
  </cols>
  <sheetData>
    <row r="1" spans="1:6" ht="15.75" customHeight="1" x14ac:dyDescent="0.2">
      <c r="B1" s="285" t="s">
        <v>71</v>
      </c>
      <c r="C1" s="285"/>
      <c r="D1" s="285"/>
      <c r="E1" s="285"/>
    </row>
    <row r="2" spans="1:6" ht="31.5" x14ac:dyDescent="0.2">
      <c r="B2" s="78" t="s">
        <v>164</v>
      </c>
      <c r="C2" s="78" t="s">
        <v>165</v>
      </c>
      <c r="D2" s="78" t="s">
        <v>69</v>
      </c>
      <c r="E2" s="78" t="s">
        <v>163</v>
      </c>
    </row>
    <row r="3" spans="1:6" ht="15.75" customHeight="1" x14ac:dyDescent="0.25">
      <c r="B3" s="284" t="s">
        <v>70</v>
      </c>
      <c r="C3" s="284"/>
      <c r="D3" s="284"/>
      <c r="E3" s="284"/>
    </row>
    <row r="4" spans="1:6" ht="15.75" customHeight="1" x14ac:dyDescent="0.2">
      <c r="B4" s="21"/>
      <c r="C4" s="21"/>
      <c r="D4" s="72"/>
      <c r="E4" s="29">
        <f>'GASTOS DE PERSONAL'!M13</f>
        <v>0</v>
      </c>
    </row>
    <row r="5" spans="1:6" ht="15.75" customHeight="1" x14ac:dyDescent="0.25">
      <c r="B5" s="284" t="s">
        <v>160</v>
      </c>
      <c r="C5" s="284"/>
      <c r="D5" s="284"/>
      <c r="E5" s="284"/>
    </row>
    <row r="6" spans="1:6" ht="15.75" customHeight="1" x14ac:dyDescent="0.2">
      <c r="B6" s="21"/>
      <c r="C6" s="21"/>
      <c r="D6" s="17"/>
      <c r="E6" s="77"/>
    </row>
    <row r="7" spans="1:6" ht="15.75" customHeight="1" x14ac:dyDescent="0.2">
      <c r="B7" s="21"/>
      <c r="C7" s="21"/>
      <c r="D7" s="21"/>
      <c r="E7" s="77"/>
    </row>
    <row r="8" spans="1:6" ht="15.75" customHeight="1" x14ac:dyDescent="0.25">
      <c r="B8" s="286" t="s">
        <v>172</v>
      </c>
      <c r="C8" s="286"/>
      <c r="D8" s="286"/>
      <c r="E8" s="80">
        <f>E4+E6+E7</f>
        <v>0</v>
      </c>
    </row>
    <row r="9" spans="1:6" s="73" customFormat="1" ht="15.75" customHeight="1" x14ac:dyDescent="0.25">
      <c r="B9" s="81"/>
      <c r="C9" s="81"/>
      <c r="D9" s="81"/>
      <c r="E9" s="82"/>
      <c r="F9" s="22"/>
    </row>
    <row r="10" spans="1:6" s="22" customFormat="1" ht="15.75" customHeight="1" x14ac:dyDescent="0.25">
      <c r="A10" s="288" t="s">
        <v>162</v>
      </c>
      <c r="B10" s="288"/>
      <c r="C10" s="288"/>
      <c r="D10" s="19" t="s">
        <v>161</v>
      </c>
    </row>
    <row r="11" spans="1:6" ht="15.75" customHeight="1" x14ac:dyDescent="0.2">
      <c r="A11" s="287"/>
      <c r="B11" s="287"/>
      <c r="C11" s="74"/>
      <c r="D11" s="75"/>
    </row>
    <row r="13" spans="1:6" ht="15.75" customHeight="1" x14ac:dyDescent="0.25">
      <c r="A13" s="289" t="s">
        <v>166</v>
      </c>
      <c r="B13" s="289"/>
      <c r="C13" s="289"/>
      <c r="D13" s="289"/>
      <c r="E13" s="289"/>
    </row>
    <row r="14" spans="1:6" s="79" customFormat="1" ht="31.5" x14ac:dyDescent="0.25">
      <c r="A14" s="284" t="s">
        <v>71</v>
      </c>
      <c r="B14" s="284"/>
      <c r="C14" s="30" t="s">
        <v>170</v>
      </c>
      <c r="D14" s="30" t="s">
        <v>171</v>
      </c>
      <c r="E14" s="30" t="s">
        <v>27</v>
      </c>
      <c r="F14" s="22"/>
    </row>
    <row r="15" spans="1:6" ht="15.75" customHeight="1" x14ac:dyDescent="0.2">
      <c r="A15" s="283" t="s">
        <v>148</v>
      </c>
      <c r="B15" s="283"/>
      <c r="C15" s="74">
        <f>E6</f>
        <v>0</v>
      </c>
      <c r="D15" s="83"/>
      <c r="E15" s="74">
        <f>C15</f>
        <v>0</v>
      </c>
    </row>
    <row r="16" spans="1:6" ht="15.75" customHeight="1" x14ac:dyDescent="0.2">
      <c r="A16" s="283" t="s">
        <v>167</v>
      </c>
      <c r="B16" s="283"/>
      <c r="C16" s="74">
        <f>E16</f>
        <v>0</v>
      </c>
      <c r="D16" s="83"/>
      <c r="E16" s="74">
        <f>'GASTOS DE PERSONAL'!M13</f>
        <v>0</v>
      </c>
    </row>
    <row r="17" spans="1:7" ht="15.75" customHeight="1" x14ac:dyDescent="0.2">
      <c r="A17" s="283" t="s">
        <v>175</v>
      </c>
      <c r="B17" s="283"/>
      <c r="C17" s="74">
        <f>SUM('GASTOS PREVIOS A LA PRODUCCION'!B4:B10)</f>
        <v>0</v>
      </c>
      <c r="D17" s="83"/>
      <c r="E17" s="74">
        <f t="shared" ref="E17:E19" si="0">C17</f>
        <v>0</v>
      </c>
    </row>
    <row r="18" spans="1:7" ht="15.75" customHeight="1" x14ac:dyDescent="0.2">
      <c r="A18" s="283" t="s">
        <v>173</v>
      </c>
      <c r="B18" s="283"/>
      <c r="C18" s="74">
        <f>C11</f>
        <v>0</v>
      </c>
      <c r="D18" s="83"/>
      <c r="E18" s="74">
        <f t="shared" si="0"/>
        <v>0</v>
      </c>
      <c r="G18" s="76"/>
    </row>
    <row r="19" spans="1:7" ht="15.75" customHeight="1" x14ac:dyDescent="0.2">
      <c r="A19" s="283" t="s">
        <v>168</v>
      </c>
      <c r="B19" s="283"/>
      <c r="C19" s="74">
        <f>E6+E7</f>
        <v>0</v>
      </c>
      <c r="D19" s="83"/>
      <c r="E19" s="74">
        <f t="shared" si="0"/>
        <v>0</v>
      </c>
      <c r="G19" s="76"/>
    </row>
    <row r="20" spans="1:7" ht="15.75" customHeight="1" x14ac:dyDescent="0.2">
      <c r="A20" s="283" t="s">
        <v>169</v>
      </c>
      <c r="B20" s="283"/>
      <c r="C20" s="74"/>
      <c r="D20" s="83"/>
      <c r="E20" s="74"/>
    </row>
    <row r="21" spans="1:7" ht="15.75" customHeight="1" x14ac:dyDescent="0.25">
      <c r="A21" s="282" t="s">
        <v>174</v>
      </c>
      <c r="B21" s="282"/>
      <c r="C21" s="86">
        <f>SUM(C15:C20)</f>
        <v>0</v>
      </c>
      <c r="D21" s="86">
        <f t="shared" ref="D21:E21" si="1">SUM(D15:D20)</f>
        <v>0</v>
      </c>
      <c r="E21" s="86">
        <f t="shared" si="1"/>
        <v>0</v>
      </c>
    </row>
    <row r="22" spans="1:7" ht="15.75" customHeight="1" x14ac:dyDescent="0.2">
      <c r="A22" s="85"/>
      <c r="B22" s="85"/>
      <c r="C22" s="84"/>
      <c r="D22" s="84"/>
      <c r="E22" s="84"/>
    </row>
    <row r="23" spans="1:7" ht="15.75" customHeight="1" x14ac:dyDescent="0.2">
      <c r="F23" s="18"/>
    </row>
    <row r="24" spans="1:7" ht="15.75" customHeight="1" x14ac:dyDescent="0.2">
      <c r="F24" s="18"/>
    </row>
    <row r="25" spans="1:7" ht="15.75" customHeight="1" x14ac:dyDescent="0.2">
      <c r="F25" s="18"/>
    </row>
  </sheetData>
  <mergeCells count="15">
    <mergeCell ref="B1:E1"/>
    <mergeCell ref="B3:E3"/>
    <mergeCell ref="B5:E5"/>
    <mergeCell ref="A20:B20"/>
    <mergeCell ref="B8:D8"/>
    <mergeCell ref="A11:B11"/>
    <mergeCell ref="A10:C10"/>
    <mergeCell ref="A13:E13"/>
    <mergeCell ref="A21:B21"/>
    <mergeCell ref="A17:B17"/>
    <mergeCell ref="A14:B14"/>
    <mergeCell ref="A15:B15"/>
    <mergeCell ref="A16:B16"/>
    <mergeCell ref="A18:B18"/>
    <mergeCell ref="A19:B19"/>
  </mergeCells>
  <pageMargins left="0.7" right="0.7" top="0.75" bottom="0.75" header="0.3" footer="0.3"/>
  <pageSetup orientation="portrait" r:id="rId1"/>
  <ignoredErrors>
    <ignoredError sqref="E16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9"/>
  <sheetViews>
    <sheetView workbookViewId="0">
      <selection activeCell="K12" sqref="K12"/>
    </sheetView>
  </sheetViews>
  <sheetFormatPr baseColWidth="10" defaultRowHeight="12.75" x14ac:dyDescent="0.2"/>
  <cols>
    <col min="1" max="1" width="26.42578125" style="48" bestFit="1" customWidth="1"/>
    <col min="2" max="2" width="15.85546875" style="97" customWidth="1"/>
    <col min="3" max="3" width="10.42578125" style="123" bestFit="1" customWidth="1"/>
    <col min="4" max="4" width="17" style="90" customWidth="1"/>
    <col min="5" max="5" width="12.85546875" style="123" customWidth="1"/>
    <col min="6" max="6" width="15.140625" style="124" customWidth="1"/>
    <col min="7" max="7" width="16.42578125" style="48" customWidth="1"/>
    <col min="8" max="8" width="22.85546875" style="48" bestFit="1" customWidth="1"/>
    <col min="9" max="9" width="14.140625" style="48" bestFit="1" customWidth="1"/>
    <col min="10" max="10" width="13.28515625" style="48" bestFit="1" customWidth="1"/>
    <col min="11" max="16384" width="11.42578125" style="48"/>
  </cols>
  <sheetData>
    <row r="1" spans="1:10" ht="18.75" customHeight="1" x14ac:dyDescent="0.2">
      <c r="A1" s="254" t="s">
        <v>99</v>
      </c>
      <c r="B1" s="255"/>
      <c r="C1" s="255"/>
      <c r="D1" s="255"/>
      <c r="E1" s="255"/>
      <c r="F1" s="294"/>
      <c r="G1" s="295" t="s">
        <v>100</v>
      </c>
      <c r="H1" s="295"/>
      <c r="I1" s="295"/>
      <c r="J1" s="295"/>
    </row>
    <row r="2" spans="1:10" s="92" customFormat="1" ht="27" customHeight="1" x14ac:dyDescent="0.2">
      <c r="A2" s="296" t="s">
        <v>102</v>
      </c>
      <c r="B2" s="297" t="s">
        <v>103</v>
      </c>
      <c r="C2" s="298" t="s">
        <v>59</v>
      </c>
      <c r="D2" s="296" t="s">
        <v>87</v>
      </c>
      <c r="E2" s="298" t="s">
        <v>101</v>
      </c>
      <c r="F2" s="299" t="s">
        <v>104</v>
      </c>
      <c r="G2" s="129" t="s">
        <v>91</v>
      </c>
      <c r="H2" s="129" t="s">
        <v>93</v>
      </c>
      <c r="I2" s="129" t="s">
        <v>95</v>
      </c>
      <c r="J2" s="129" t="s">
        <v>98</v>
      </c>
    </row>
    <row r="3" spans="1:10" s="92" customFormat="1" ht="27" customHeight="1" x14ac:dyDescent="0.2">
      <c r="A3" s="296"/>
      <c r="B3" s="297"/>
      <c r="C3" s="298"/>
      <c r="D3" s="296"/>
      <c r="E3" s="298"/>
      <c r="F3" s="299"/>
      <c r="G3" s="129" t="s">
        <v>92</v>
      </c>
      <c r="H3" s="129" t="s">
        <v>94</v>
      </c>
      <c r="I3" s="129" t="s">
        <v>96</v>
      </c>
      <c r="J3" s="129" t="s">
        <v>97</v>
      </c>
    </row>
    <row r="4" spans="1:10" x14ac:dyDescent="0.2">
      <c r="A4" s="125" t="s">
        <v>193</v>
      </c>
      <c r="B4" s="91"/>
      <c r="C4" s="126"/>
      <c r="D4" s="127"/>
      <c r="E4" s="126"/>
      <c r="F4" s="130" t="e">
        <f>C4/B4*E4</f>
        <v>#DIV/0!</v>
      </c>
      <c r="G4" s="130" t="e">
        <f>F4</f>
        <v>#DIV/0!</v>
      </c>
      <c r="H4" s="147">
        <v>0</v>
      </c>
      <c r="I4" s="130" t="e">
        <f>F4</f>
        <v>#DIV/0!</v>
      </c>
      <c r="J4" s="130" t="e">
        <f t="shared" ref="J4" si="0">I4</f>
        <v>#DIV/0!</v>
      </c>
    </row>
    <row r="5" spans="1:10" x14ac:dyDescent="0.2">
      <c r="A5" s="128" t="s">
        <v>203</v>
      </c>
      <c r="B5" s="91"/>
      <c r="C5" s="126"/>
      <c r="D5" s="127"/>
      <c r="E5" s="126"/>
      <c r="F5" s="130" t="e">
        <f>C5/B5*E5</f>
        <v>#DIV/0!</v>
      </c>
      <c r="G5" s="130" t="e">
        <f t="shared" ref="G5:J37" si="1">F5</f>
        <v>#DIV/0!</v>
      </c>
      <c r="H5" s="147">
        <v>0</v>
      </c>
      <c r="I5" s="130" t="e">
        <f t="shared" ref="I5:I20" si="2">F5</f>
        <v>#DIV/0!</v>
      </c>
      <c r="J5" s="130" t="e">
        <f t="shared" si="1"/>
        <v>#DIV/0!</v>
      </c>
    </row>
    <row r="6" spans="1:10" x14ac:dyDescent="0.2">
      <c r="A6" s="128" t="s">
        <v>216</v>
      </c>
      <c r="B6" s="91"/>
      <c r="C6" s="126"/>
      <c r="D6" s="127"/>
      <c r="E6" s="126"/>
      <c r="F6" s="130" t="e">
        <f t="shared" ref="F6:F21" si="3">C6/B6*E6</f>
        <v>#DIV/0!</v>
      </c>
      <c r="G6" s="130" t="e">
        <f t="shared" si="1"/>
        <v>#DIV/0!</v>
      </c>
      <c r="H6" s="130" t="e">
        <f t="shared" si="1"/>
        <v>#DIV/0!</v>
      </c>
      <c r="I6" s="130" t="e">
        <f t="shared" si="2"/>
        <v>#DIV/0!</v>
      </c>
      <c r="J6" s="130" t="e">
        <f t="shared" si="1"/>
        <v>#DIV/0!</v>
      </c>
    </row>
    <row r="7" spans="1:10" x14ac:dyDescent="0.2">
      <c r="A7" s="47" t="s">
        <v>218</v>
      </c>
      <c r="B7" s="91"/>
      <c r="C7" s="126"/>
      <c r="D7" s="127"/>
      <c r="E7" s="126"/>
      <c r="F7" s="130" t="e">
        <f t="shared" si="3"/>
        <v>#DIV/0!</v>
      </c>
      <c r="G7" s="130" t="e">
        <f t="shared" si="1"/>
        <v>#DIV/0!</v>
      </c>
      <c r="H7" s="130" t="e">
        <f t="shared" si="1"/>
        <v>#DIV/0!</v>
      </c>
      <c r="I7" s="130" t="e">
        <f t="shared" si="2"/>
        <v>#DIV/0!</v>
      </c>
      <c r="J7" s="130" t="e">
        <f t="shared" si="1"/>
        <v>#DIV/0!</v>
      </c>
    </row>
    <row r="8" spans="1:10" x14ac:dyDescent="0.2">
      <c r="A8" s="47" t="s">
        <v>224</v>
      </c>
      <c r="B8" s="91"/>
      <c r="C8" s="126"/>
      <c r="D8" s="127"/>
      <c r="E8" s="126"/>
      <c r="F8" s="130" t="e">
        <f t="shared" si="3"/>
        <v>#DIV/0!</v>
      </c>
      <c r="G8" s="130" t="e">
        <f t="shared" si="1"/>
        <v>#DIV/0!</v>
      </c>
      <c r="H8" s="130" t="e">
        <f>F8</f>
        <v>#DIV/0!</v>
      </c>
      <c r="I8" s="130" t="e">
        <f t="shared" si="2"/>
        <v>#DIV/0!</v>
      </c>
      <c r="J8" s="130" t="e">
        <f t="shared" si="1"/>
        <v>#DIV/0!</v>
      </c>
    </row>
    <row r="9" spans="1:10" x14ac:dyDescent="0.2">
      <c r="A9" s="128" t="s">
        <v>202</v>
      </c>
      <c r="B9" s="91"/>
      <c r="C9" s="126"/>
      <c r="D9" s="127"/>
      <c r="E9" s="126"/>
      <c r="F9" s="130" t="e">
        <f t="shared" si="3"/>
        <v>#DIV/0!</v>
      </c>
      <c r="G9" s="130" t="e">
        <f t="shared" si="1"/>
        <v>#DIV/0!</v>
      </c>
      <c r="H9" s="130" t="e">
        <f t="shared" si="1"/>
        <v>#DIV/0!</v>
      </c>
      <c r="I9" s="130" t="e">
        <f t="shared" si="2"/>
        <v>#DIV/0!</v>
      </c>
      <c r="J9" s="130" t="e">
        <f t="shared" si="1"/>
        <v>#DIV/0!</v>
      </c>
    </row>
    <row r="10" spans="1:10" x14ac:dyDescent="0.2">
      <c r="A10" s="125" t="s">
        <v>196</v>
      </c>
      <c r="B10" s="91"/>
      <c r="C10" s="126"/>
      <c r="D10" s="127"/>
      <c r="E10" s="126"/>
      <c r="F10" s="130" t="e">
        <f t="shared" si="3"/>
        <v>#DIV/0!</v>
      </c>
      <c r="G10" s="130" t="e">
        <f t="shared" si="1"/>
        <v>#DIV/0!</v>
      </c>
      <c r="H10" s="147">
        <v>0</v>
      </c>
      <c r="I10" s="130" t="e">
        <f t="shared" si="2"/>
        <v>#DIV/0!</v>
      </c>
      <c r="J10" s="147">
        <v>0</v>
      </c>
    </row>
    <row r="11" spans="1:10" x14ac:dyDescent="0.2">
      <c r="A11" s="47" t="s">
        <v>217</v>
      </c>
      <c r="B11" s="91"/>
      <c r="C11" s="126"/>
      <c r="D11" s="127"/>
      <c r="E11" s="126"/>
      <c r="F11" s="130" t="e">
        <f t="shared" si="3"/>
        <v>#DIV/0!</v>
      </c>
      <c r="G11" s="130" t="e">
        <f t="shared" si="1"/>
        <v>#DIV/0!</v>
      </c>
      <c r="H11" s="147">
        <v>0</v>
      </c>
      <c r="I11" s="130" t="e">
        <f t="shared" si="2"/>
        <v>#DIV/0!</v>
      </c>
      <c r="J11" s="147">
        <v>0</v>
      </c>
    </row>
    <row r="12" spans="1:10" x14ac:dyDescent="0.2">
      <c r="A12" s="128" t="s">
        <v>205</v>
      </c>
      <c r="B12" s="91"/>
      <c r="C12" s="126"/>
      <c r="D12" s="127"/>
      <c r="E12" s="126"/>
      <c r="F12" s="130" t="e">
        <f t="shared" si="3"/>
        <v>#DIV/0!</v>
      </c>
      <c r="G12" s="130" t="e">
        <f t="shared" si="1"/>
        <v>#DIV/0!</v>
      </c>
      <c r="H12" s="130" t="e">
        <f t="shared" si="1"/>
        <v>#DIV/0!</v>
      </c>
      <c r="I12" s="130" t="e">
        <f t="shared" si="2"/>
        <v>#DIV/0!</v>
      </c>
      <c r="J12" s="147">
        <v>0</v>
      </c>
    </row>
    <row r="13" spans="1:10" x14ac:dyDescent="0.2">
      <c r="A13" s="128" t="s">
        <v>206</v>
      </c>
      <c r="B13" s="91"/>
      <c r="C13" s="126"/>
      <c r="D13" s="127"/>
      <c r="E13" s="126"/>
      <c r="F13" s="130" t="e">
        <f t="shared" si="3"/>
        <v>#DIV/0!</v>
      </c>
      <c r="G13" s="130" t="e">
        <f t="shared" si="1"/>
        <v>#DIV/0!</v>
      </c>
      <c r="H13" s="130" t="e">
        <f t="shared" si="1"/>
        <v>#DIV/0!</v>
      </c>
      <c r="I13" s="130" t="e">
        <f t="shared" si="2"/>
        <v>#DIV/0!</v>
      </c>
      <c r="J13" s="130" t="e">
        <f t="shared" si="1"/>
        <v>#DIV/0!</v>
      </c>
    </row>
    <row r="14" spans="1:10" x14ac:dyDescent="0.2">
      <c r="A14" s="47" t="s">
        <v>209</v>
      </c>
      <c r="B14" s="91"/>
      <c r="C14" s="126"/>
      <c r="D14" s="127"/>
      <c r="E14" s="126"/>
      <c r="F14" s="130" t="e">
        <f t="shared" si="3"/>
        <v>#DIV/0!</v>
      </c>
      <c r="G14" s="130" t="e">
        <f t="shared" si="1"/>
        <v>#DIV/0!</v>
      </c>
      <c r="H14" s="147">
        <v>0</v>
      </c>
      <c r="I14" s="130" t="e">
        <f t="shared" si="2"/>
        <v>#DIV/0!</v>
      </c>
      <c r="J14" s="147">
        <v>0</v>
      </c>
    </row>
    <row r="15" spans="1:10" x14ac:dyDescent="0.2">
      <c r="A15" s="47" t="s">
        <v>211</v>
      </c>
      <c r="B15" s="91"/>
      <c r="C15" s="126"/>
      <c r="D15" s="127"/>
      <c r="E15" s="126"/>
      <c r="F15" s="130">
        <f>B15</f>
        <v>0</v>
      </c>
      <c r="G15" s="130">
        <f t="shared" si="1"/>
        <v>0</v>
      </c>
      <c r="H15" s="147">
        <v>0</v>
      </c>
      <c r="I15" s="130">
        <f t="shared" si="2"/>
        <v>0</v>
      </c>
      <c r="J15" s="147">
        <v>0</v>
      </c>
    </row>
    <row r="16" spans="1:10" x14ac:dyDescent="0.2">
      <c r="A16" s="125" t="s">
        <v>189</v>
      </c>
      <c r="B16" s="91"/>
      <c r="C16" s="126"/>
      <c r="D16" s="127"/>
      <c r="E16" s="126"/>
      <c r="F16" s="130" t="e">
        <f t="shared" si="3"/>
        <v>#DIV/0!</v>
      </c>
      <c r="G16" s="130" t="e">
        <f t="shared" si="1"/>
        <v>#DIV/0!</v>
      </c>
      <c r="H16" s="147">
        <v>0</v>
      </c>
      <c r="I16" s="130" t="e">
        <f t="shared" si="2"/>
        <v>#DIV/0!</v>
      </c>
      <c r="J16" s="130" t="e">
        <f t="shared" si="1"/>
        <v>#DIV/0!</v>
      </c>
    </row>
    <row r="17" spans="1:10" x14ac:dyDescent="0.2">
      <c r="A17" s="125" t="s">
        <v>191</v>
      </c>
      <c r="B17" s="91"/>
      <c r="C17" s="126"/>
      <c r="D17" s="127"/>
      <c r="E17" s="126"/>
      <c r="F17" s="130" t="e">
        <f t="shared" si="3"/>
        <v>#DIV/0!</v>
      </c>
      <c r="G17" s="130" t="e">
        <f t="shared" si="1"/>
        <v>#DIV/0!</v>
      </c>
      <c r="H17" s="130" t="e">
        <f t="shared" si="1"/>
        <v>#DIV/0!</v>
      </c>
      <c r="I17" s="130" t="e">
        <f t="shared" si="2"/>
        <v>#DIV/0!</v>
      </c>
      <c r="J17" s="130" t="e">
        <f t="shared" si="1"/>
        <v>#DIV/0!</v>
      </c>
    </row>
    <row r="18" spans="1:10" x14ac:dyDescent="0.2">
      <c r="A18" s="125" t="s">
        <v>198</v>
      </c>
      <c r="B18" s="91"/>
      <c r="C18" s="126"/>
      <c r="D18" s="127"/>
      <c r="E18" s="126"/>
      <c r="F18" s="130" t="e">
        <f t="shared" si="3"/>
        <v>#DIV/0!</v>
      </c>
      <c r="G18" s="130" t="e">
        <f t="shared" si="1"/>
        <v>#DIV/0!</v>
      </c>
      <c r="H18" s="130" t="e">
        <f t="shared" si="1"/>
        <v>#DIV/0!</v>
      </c>
      <c r="I18" s="130" t="e">
        <f t="shared" si="2"/>
        <v>#DIV/0!</v>
      </c>
      <c r="J18" s="130" t="e">
        <f t="shared" si="1"/>
        <v>#DIV/0!</v>
      </c>
    </row>
    <row r="19" spans="1:10" x14ac:dyDescent="0.2">
      <c r="A19" s="125" t="s">
        <v>195</v>
      </c>
      <c r="B19" s="91"/>
      <c r="C19" s="126"/>
      <c r="D19" s="127"/>
      <c r="E19" s="126"/>
      <c r="F19" s="130" t="e">
        <f t="shared" si="3"/>
        <v>#DIV/0!</v>
      </c>
      <c r="G19" s="130" t="e">
        <f t="shared" si="1"/>
        <v>#DIV/0!</v>
      </c>
      <c r="H19" s="130" t="e">
        <f t="shared" si="1"/>
        <v>#DIV/0!</v>
      </c>
      <c r="I19" s="130" t="e">
        <f t="shared" si="2"/>
        <v>#DIV/0!</v>
      </c>
      <c r="J19" s="130" t="e">
        <f t="shared" si="1"/>
        <v>#DIV/0!</v>
      </c>
    </row>
    <row r="20" spans="1:10" x14ac:dyDescent="0.2">
      <c r="A20" s="125" t="s">
        <v>223</v>
      </c>
      <c r="B20" s="91"/>
      <c r="C20" s="126"/>
      <c r="D20" s="127"/>
      <c r="E20" s="126"/>
      <c r="F20" s="130">
        <f>B20*E20</f>
        <v>0</v>
      </c>
      <c r="G20" s="130">
        <f t="shared" si="1"/>
        <v>0</v>
      </c>
      <c r="H20" s="130">
        <f>F20</f>
        <v>0</v>
      </c>
      <c r="I20" s="130">
        <f t="shared" si="2"/>
        <v>0</v>
      </c>
      <c r="J20" s="130">
        <f t="shared" si="1"/>
        <v>0</v>
      </c>
    </row>
    <row r="21" spans="1:10" x14ac:dyDescent="0.2">
      <c r="A21" s="47" t="s">
        <v>213</v>
      </c>
      <c r="B21" s="91"/>
      <c r="C21" s="126"/>
      <c r="D21" s="127"/>
      <c r="E21" s="126"/>
      <c r="F21" s="130" t="e">
        <f t="shared" si="3"/>
        <v>#DIV/0!</v>
      </c>
      <c r="G21" s="130" t="e">
        <f t="shared" si="1"/>
        <v>#DIV/0!</v>
      </c>
      <c r="H21" s="130" t="e">
        <f t="shared" si="1"/>
        <v>#DIV/0!</v>
      </c>
      <c r="I21" s="147">
        <v>0</v>
      </c>
      <c r="J21" s="147">
        <v>0</v>
      </c>
    </row>
    <row r="22" spans="1:10" x14ac:dyDescent="0.2">
      <c r="A22" s="125" t="s">
        <v>192</v>
      </c>
      <c r="B22" s="91"/>
      <c r="C22" s="126"/>
      <c r="D22" s="127"/>
      <c r="E22" s="126"/>
      <c r="F22" s="130" t="e">
        <f t="shared" ref="F22:F36" si="4">(C22/B22)*E22</f>
        <v>#DIV/0!</v>
      </c>
      <c r="G22" s="130" t="e">
        <f t="shared" si="1"/>
        <v>#DIV/0!</v>
      </c>
      <c r="H22" s="147">
        <v>0</v>
      </c>
      <c r="I22" s="147">
        <v>0</v>
      </c>
      <c r="J22" s="147">
        <v>0</v>
      </c>
    </row>
    <row r="23" spans="1:10" x14ac:dyDescent="0.2">
      <c r="A23" s="128" t="s">
        <v>201</v>
      </c>
      <c r="B23" s="91"/>
      <c r="C23" s="126"/>
      <c r="D23" s="127"/>
      <c r="E23" s="126"/>
      <c r="F23" s="130" t="e">
        <f t="shared" si="4"/>
        <v>#DIV/0!</v>
      </c>
      <c r="G23" s="147">
        <v>0</v>
      </c>
      <c r="H23" s="130" t="e">
        <f>F23</f>
        <v>#DIV/0!</v>
      </c>
      <c r="I23" s="147">
        <v>0</v>
      </c>
      <c r="J23" s="147">
        <v>0</v>
      </c>
    </row>
    <row r="24" spans="1:10" x14ac:dyDescent="0.2">
      <c r="A24" s="47" t="s">
        <v>214</v>
      </c>
      <c r="B24" s="91"/>
      <c r="C24" s="126"/>
      <c r="D24" s="127"/>
      <c r="E24" s="126"/>
      <c r="F24" s="130">
        <f>B24*C24</f>
        <v>0</v>
      </c>
      <c r="G24" s="130">
        <f t="shared" si="1"/>
        <v>0</v>
      </c>
      <c r="H24" s="147">
        <v>0</v>
      </c>
      <c r="I24" s="147">
        <v>0</v>
      </c>
      <c r="J24" s="130">
        <f>F24</f>
        <v>0</v>
      </c>
    </row>
    <row r="25" spans="1:10" x14ac:dyDescent="0.2">
      <c r="A25" s="47" t="s">
        <v>212</v>
      </c>
      <c r="B25" s="91"/>
      <c r="C25" s="126"/>
      <c r="D25" s="127"/>
      <c r="E25" s="126"/>
      <c r="F25" s="130" t="e">
        <f t="shared" si="4"/>
        <v>#DIV/0!</v>
      </c>
      <c r="G25" s="130" t="e">
        <f t="shared" si="1"/>
        <v>#DIV/0!</v>
      </c>
      <c r="H25" s="130" t="e">
        <f t="shared" si="1"/>
        <v>#DIV/0!</v>
      </c>
      <c r="I25" s="130" t="e">
        <f t="shared" si="1"/>
        <v>#DIV/0!</v>
      </c>
      <c r="J25" s="130" t="e">
        <f t="shared" si="1"/>
        <v>#DIV/0!</v>
      </c>
    </row>
    <row r="26" spans="1:10" x14ac:dyDescent="0.2">
      <c r="A26" s="128" t="s">
        <v>215</v>
      </c>
      <c r="B26" s="91"/>
      <c r="C26" s="126"/>
      <c r="D26" s="127"/>
      <c r="E26" s="126"/>
      <c r="F26" s="130" t="e">
        <f t="shared" si="4"/>
        <v>#DIV/0!</v>
      </c>
      <c r="G26" s="147">
        <v>0</v>
      </c>
      <c r="H26" s="130" t="e">
        <f>F26</f>
        <v>#DIV/0!</v>
      </c>
      <c r="I26" s="147">
        <v>0</v>
      </c>
      <c r="J26" s="147">
        <v>0</v>
      </c>
    </row>
    <row r="27" spans="1:10" x14ac:dyDescent="0.2">
      <c r="A27" s="47" t="s">
        <v>210</v>
      </c>
      <c r="B27" s="91"/>
      <c r="C27" s="126"/>
      <c r="D27" s="127"/>
      <c r="E27" s="126"/>
      <c r="F27" s="130" t="e">
        <f t="shared" si="4"/>
        <v>#DIV/0!</v>
      </c>
      <c r="G27" s="130" t="e">
        <f t="shared" si="1"/>
        <v>#DIV/0!</v>
      </c>
      <c r="H27" s="147">
        <v>0</v>
      </c>
      <c r="I27" s="147">
        <v>0</v>
      </c>
      <c r="J27" s="147">
        <v>0</v>
      </c>
    </row>
    <row r="28" spans="1:10" x14ac:dyDescent="0.2">
      <c r="A28" s="47" t="s">
        <v>219</v>
      </c>
      <c r="B28" s="91"/>
      <c r="C28" s="126"/>
      <c r="D28" s="127"/>
      <c r="E28" s="126"/>
      <c r="F28" s="130" t="e">
        <f t="shared" si="4"/>
        <v>#DIV/0!</v>
      </c>
      <c r="G28" s="147">
        <v>0</v>
      </c>
      <c r="H28" s="147">
        <v>0</v>
      </c>
      <c r="I28" s="147">
        <v>0</v>
      </c>
      <c r="J28" s="130" t="e">
        <f>F28</f>
        <v>#DIV/0!</v>
      </c>
    </row>
    <row r="29" spans="1:10" x14ac:dyDescent="0.2">
      <c r="A29" s="128" t="s">
        <v>200</v>
      </c>
      <c r="B29" s="91"/>
      <c r="C29" s="126"/>
      <c r="D29" s="127"/>
      <c r="E29" s="126"/>
      <c r="F29" s="130" t="e">
        <f t="shared" si="4"/>
        <v>#DIV/0!</v>
      </c>
      <c r="G29" s="130" t="e">
        <f t="shared" si="1"/>
        <v>#DIV/0!</v>
      </c>
      <c r="H29" s="130" t="e">
        <f t="shared" si="1"/>
        <v>#DIV/0!</v>
      </c>
      <c r="I29" s="130" t="e">
        <f t="shared" si="1"/>
        <v>#DIV/0!</v>
      </c>
      <c r="J29" s="130" t="e">
        <f t="shared" si="1"/>
        <v>#DIV/0!</v>
      </c>
    </row>
    <row r="30" spans="1:10" x14ac:dyDescent="0.2">
      <c r="A30" s="47" t="s">
        <v>242</v>
      </c>
      <c r="B30" s="91"/>
      <c r="C30" s="126"/>
      <c r="D30" s="127"/>
      <c r="E30" s="126"/>
      <c r="F30" s="130">
        <f>B30*E30</f>
        <v>0</v>
      </c>
      <c r="G30" s="147">
        <v>0</v>
      </c>
      <c r="H30" s="147">
        <v>0</v>
      </c>
      <c r="I30" s="130">
        <f>F30</f>
        <v>0</v>
      </c>
      <c r="J30" s="130">
        <f t="shared" si="1"/>
        <v>0</v>
      </c>
    </row>
    <row r="31" spans="1:10" x14ac:dyDescent="0.2">
      <c r="A31" s="128" t="s">
        <v>208</v>
      </c>
      <c r="B31" s="91"/>
      <c r="C31" s="126"/>
      <c r="D31" s="127"/>
      <c r="E31" s="126"/>
      <c r="F31" s="130" t="e">
        <f t="shared" si="4"/>
        <v>#DIV/0!</v>
      </c>
      <c r="G31" s="130" t="e">
        <f t="shared" si="1"/>
        <v>#DIV/0!</v>
      </c>
      <c r="H31" s="130" t="e">
        <f t="shared" si="1"/>
        <v>#DIV/0!</v>
      </c>
      <c r="I31" s="130" t="e">
        <f t="shared" si="1"/>
        <v>#DIV/0!</v>
      </c>
      <c r="J31" s="130" t="e">
        <f t="shared" si="1"/>
        <v>#DIV/0!</v>
      </c>
    </row>
    <row r="32" spans="1:10" x14ac:dyDescent="0.2">
      <c r="A32" s="128" t="s">
        <v>204</v>
      </c>
      <c r="B32" s="91"/>
      <c r="C32" s="126"/>
      <c r="D32" s="127"/>
      <c r="E32" s="126"/>
      <c r="F32" s="130" t="e">
        <f t="shared" si="4"/>
        <v>#DIV/0!</v>
      </c>
      <c r="G32" s="130" t="e">
        <f t="shared" si="1"/>
        <v>#DIV/0!</v>
      </c>
      <c r="H32" s="130" t="e">
        <f t="shared" si="1"/>
        <v>#DIV/0!</v>
      </c>
      <c r="I32" s="130" t="e">
        <f t="shared" si="1"/>
        <v>#DIV/0!</v>
      </c>
      <c r="J32" s="130" t="e">
        <f t="shared" si="1"/>
        <v>#DIV/0!</v>
      </c>
    </row>
    <row r="33" spans="1:11" x14ac:dyDescent="0.2">
      <c r="A33" s="125" t="s">
        <v>207</v>
      </c>
      <c r="B33" s="91"/>
      <c r="C33" s="126"/>
      <c r="D33" s="127"/>
      <c r="E33" s="126"/>
      <c r="F33" s="130" t="e">
        <f t="shared" si="4"/>
        <v>#DIV/0!</v>
      </c>
      <c r="G33" s="130" t="e">
        <f t="shared" si="1"/>
        <v>#DIV/0!</v>
      </c>
      <c r="H33" s="130" t="e">
        <f t="shared" si="1"/>
        <v>#DIV/0!</v>
      </c>
      <c r="I33" s="130" t="e">
        <f t="shared" si="1"/>
        <v>#DIV/0!</v>
      </c>
      <c r="J33" s="130" t="e">
        <f t="shared" si="1"/>
        <v>#DIV/0!</v>
      </c>
    </row>
    <row r="34" spans="1:11" x14ac:dyDescent="0.2">
      <c r="A34" s="125" t="s">
        <v>199</v>
      </c>
      <c r="B34" s="91"/>
      <c r="C34" s="126"/>
      <c r="D34" s="127"/>
      <c r="E34" s="126"/>
      <c r="F34" s="130" t="e">
        <f t="shared" si="4"/>
        <v>#DIV/0!</v>
      </c>
      <c r="G34" s="130" t="e">
        <f t="shared" si="1"/>
        <v>#DIV/0!</v>
      </c>
      <c r="H34" s="130" t="e">
        <f t="shared" si="1"/>
        <v>#DIV/0!</v>
      </c>
      <c r="I34" s="130" t="e">
        <f t="shared" si="1"/>
        <v>#DIV/0!</v>
      </c>
      <c r="J34" s="130" t="e">
        <f t="shared" si="1"/>
        <v>#DIV/0!</v>
      </c>
    </row>
    <row r="35" spans="1:11" x14ac:dyDescent="0.2">
      <c r="A35" s="125" t="s">
        <v>194</v>
      </c>
      <c r="B35" s="91"/>
      <c r="C35" s="126"/>
      <c r="D35" s="127"/>
      <c r="E35" s="126"/>
      <c r="F35" s="130" t="e">
        <f t="shared" si="4"/>
        <v>#DIV/0!</v>
      </c>
      <c r="G35" s="130" t="e">
        <f t="shared" si="1"/>
        <v>#DIV/0!</v>
      </c>
      <c r="H35" s="130" t="e">
        <f t="shared" si="1"/>
        <v>#DIV/0!</v>
      </c>
      <c r="I35" s="130" t="e">
        <f t="shared" si="1"/>
        <v>#DIV/0!</v>
      </c>
      <c r="J35" s="130" t="e">
        <f t="shared" si="1"/>
        <v>#DIV/0!</v>
      </c>
    </row>
    <row r="36" spans="1:11" x14ac:dyDescent="0.2">
      <c r="A36" s="125" t="s">
        <v>190</v>
      </c>
      <c r="B36" s="91"/>
      <c r="C36" s="126"/>
      <c r="D36" s="127"/>
      <c r="E36" s="126"/>
      <c r="F36" s="130" t="e">
        <f t="shared" si="4"/>
        <v>#DIV/0!</v>
      </c>
      <c r="G36" s="130" t="e">
        <f t="shared" si="1"/>
        <v>#DIV/0!</v>
      </c>
      <c r="H36" s="130" t="e">
        <f t="shared" si="1"/>
        <v>#DIV/0!</v>
      </c>
      <c r="I36" s="130" t="e">
        <f t="shared" si="1"/>
        <v>#DIV/0!</v>
      </c>
      <c r="J36" s="130" t="e">
        <f t="shared" si="1"/>
        <v>#DIV/0!</v>
      </c>
    </row>
    <row r="37" spans="1:11" x14ac:dyDescent="0.2">
      <c r="A37" s="125" t="s">
        <v>197</v>
      </c>
      <c r="B37" s="91"/>
      <c r="C37" s="126"/>
      <c r="D37" s="127"/>
      <c r="E37" s="126"/>
      <c r="F37" s="130">
        <f>B37*E37</f>
        <v>0</v>
      </c>
      <c r="G37" s="130">
        <f t="shared" si="1"/>
        <v>0</v>
      </c>
      <c r="H37" s="147">
        <v>0</v>
      </c>
      <c r="I37" s="147">
        <v>0</v>
      </c>
      <c r="J37" s="147">
        <v>0</v>
      </c>
    </row>
    <row r="38" spans="1:11" s="131" customFormat="1" ht="25.5" x14ac:dyDescent="0.25">
      <c r="A38" s="132" t="s">
        <v>222</v>
      </c>
      <c r="B38" s="133">
        <f>SUM(B4:B37)</f>
        <v>0</v>
      </c>
      <c r="C38" s="134">
        <f>SUM(C4:C37)</f>
        <v>0</v>
      </c>
      <c r="D38" s="71"/>
      <c r="E38" s="134">
        <f t="shared" ref="E38:J38" si="5">SUM(E4:E37)</f>
        <v>0</v>
      </c>
      <c r="F38" s="135" t="e">
        <f t="shared" si="5"/>
        <v>#DIV/0!</v>
      </c>
      <c r="G38" s="135" t="e">
        <f t="shared" si="5"/>
        <v>#DIV/0!</v>
      </c>
      <c r="H38" s="135" t="e">
        <f t="shared" si="5"/>
        <v>#DIV/0!</v>
      </c>
      <c r="I38" s="135" t="e">
        <f t="shared" si="5"/>
        <v>#DIV/0!</v>
      </c>
      <c r="J38" s="135" t="e">
        <f t="shared" si="5"/>
        <v>#DIV/0!</v>
      </c>
      <c r="K38" s="135" t="e">
        <f>SUM(F38:J38)</f>
        <v>#DIV/0!</v>
      </c>
    </row>
    <row r="39" spans="1:11" s="158" customFormat="1" ht="38.25" x14ac:dyDescent="0.25">
      <c r="A39" s="153" t="s">
        <v>260</v>
      </c>
      <c r="B39" s="154"/>
      <c r="C39" s="155"/>
      <c r="D39" s="156"/>
      <c r="E39" s="155"/>
      <c r="F39" s="155"/>
      <c r="G39" s="133" t="e">
        <f t="shared" ref="G39:J39" si="6">G38*30/100</f>
        <v>#DIV/0!</v>
      </c>
      <c r="H39" s="133" t="e">
        <f t="shared" si="6"/>
        <v>#DIV/0!</v>
      </c>
      <c r="I39" s="133" t="e">
        <f t="shared" si="6"/>
        <v>#DIV/0!</v>
      </c>
      <c r="J39" s="133" t="e">
        <f t="shared" si="6"/>
        <v>#DIV/0!</v>
      </c>
      <c r="K39" s="157"/>
    </row>
    <row r="40" spans="1:11" ht="36.75" customHeight="1" x14ac:dyDescent="0.2">
      <c r="A40" s="296" t="s">
        <v>102</v>
      </c>
      <c r="B40" s="297" t="s">
        <v>103</v>
      </c>
      <c r="C40" s="298" t="s">
        <v>59</v>
      </c>
      <c r="D40" s="296" t="s">
        <v>87</v>
      </c>
      <c r="E40" s="298" t="s">
        <v>101</v>
      </c>
      <c r="F40" s="301" t="s">
        <v>227</v>
      </c>
      <c r="G40" s="302" t="s">
        <v>228</v>
      </c>
      <c r="H40" s="300" t="s">
        <v>241</v>
      </c>
      <c r="K40" s="150"/>
    </row>
    <row r="41" spans="1:11" ht="20.25" customHeight="1" x14ac:dyDescent="0.2">
      <c r="A41" s="296"/>
      <c r="B41" s="297"/>
      <c r="C41" s="298"/>
      <c r="D41" s="296"/>
      <c r="E41" s="298"/>
      <c r="F41" s="299"/>
      <c r="G41" s="298"/>
      <c r="H41" s="296"/>
    </row>
    <row r="42" spans="1:11" x14ac:dyDescent="0.2">
      <c r="A42" s="125" t="s">
        <v>193</v>
      </c>
      <c r="B42" s="91">
        <v>200000</v>
      </c>
      <c r="C42" s="126">
        <v>20000</v>
      </c>
      <c r="D42" s="127" t="s">
        <v>220</v>
      </c>
      <c r="E42" s="126">
        <v>8</v>
      </c>
      <c r="F42" s="160">
        <f>C42*1/E42</f>
        <v>2500</v>
      </c>
      <c r="G42" s="160">
        <f>347*C42/F42</f>
        <v>2776</v>
      </c>
      <c r="H42" s="130">
        <f>(B42/C42)*G42</f>
        <v>27760</v>
      </c>
      <c r="I42" s="148"/>
      <c r="J42" s="124"/>
    </row>
    <row r="43" spans="1:11" x14ac:dyDescent="0.2">
      <c r="A43" s="128" t="s">
        <v>203</v>
      </c>
      <c r="B43" s="91">
        <v>300000</v>
      </c>
      <c r="C43" s="126">
        <v>20000</v>
      </c>
      <c r="D43" s="127" t="s">
        <v>220</v>
      </c>
      <c r="E43" s="126">
        <v>5</v>
      </c>
      <c r="F43" s="160">
        <f t="shared" ref="F43:F75" si="7">C43*1/E43</f>
        <v>4000</v>
      </c>
      <c r="G43" s="160">
        <f t="shared" ref="G43:G75" si="8">347*C43/F43</f>
        <v>1735</v>
      </c>
      <c r="H43" s="130">
        <f t="shared" ref="H43:H74" si="9">(B43/C43)*G43</f>
        <v>26025</v>
      </c>
      <c r="I43" s="149"/>
    </row>
    <row r="44" spans="1:11" x14ac:dyDescent="0.2">
      <c r="A44" s="128" t="s">
        <v>216</v>
      </c>
      <c r="B44" s="91">
        <v>4000</v>
      </c>
      <c r="C44" s="126">
        <v>500</v>
      </c>
      <c r="D44" s="127" t="s">
        <v>221</v>
      </c>
      <c r="E44" s="126">
        <v>100</v>
      </c>
      <c r="F44" s="160">
        <f t="shared" si="7"/>
        <v>5</v>
      </c>
      <c r="G44" s="160">
        <f t="shared" si="8"/>
        <v>34700</v>
      </c>
      <c r="H44" s="130">
        <f t="shared" si="9"/>
        <v>277600</v>
      </c>
      <c r="I44" s="149"/>
    </row>
    <row r="45" spans="1:11" x14ac:dyDescent="0.2">
      <c r="A45" s="47" t="s">
        <v>218</v>
      </c>
      <c r="B45" s="91">
        <v>4000</v>
      </c>
      <c r="C45" s="126">
        <v>500</v>
      </c>
      <c r="D45" s="127" t="s">
        <v>221</v>
      </c>
      <c r="E45" s="126">
        <v>50</v>
      </c>
      <c r="F45" s="160">
        <f t="shared" si="7"/>
        <v>10</v>
      </c>
      <c r="G45" s="160">
        <f t="shared" si="8"/>
        <v>17350</v>
      </c>
      <c r="H45" s="130">
        <f t="shared" si="9"/>
        <v>138800</v>
      </c>
    </row>
    <row r="46" spans="1:11" x14ac:dyDescent="0.2">
      <c r="A46" s="47" t="s">
        <v>224</v>
      </c>
      <c r="B46" s="91">
        <v>2000</v>
      </c>
      <c r="C46" s="126">
        <v>500</v>
      </c>
      <c r="D46" s="127" t="s">
        <v>221</v>
      </c>
      <c r="E46" s="126">
        <v>200</v>
      </c>
      <c r="F46" s="160">
        <f t="shared" si="7"/>
        <v>2.5</v>
      </c>
      <c r="G46" s="160">
        <f t="shared" si="8"/>
        <v>69400</v>
      </c>
      <c r="H46" s="130">
        <f t="shared" si="9"/>
        <v>277600</v>
      </c>
    </row>
    <row r="47" spans="1:11" x14ac:dyDescent="0.2">
      <c r="A47" s="128" t="s">
        <v>202</v>
      </c>
      <c r="B47" s="91">
        <v>8000</v>
      </c>
      <c r="C47" s="126">
        <v>20000</v>
      </c>
      <c r="D47" s="127" t="s">
        <v>220</v>
      </c>
      <c r="E47" s="126">
        <v>200</v>
      </c>
      <c r="F47" s="160">
        <f t="shared" si="7"/>
        <v>100</v>
      </c>
      <c r="G47" s="160">
        <f t="shared" si="8"/>
        <v>69400</v>
      </c>
      <c r="H47" s="130">
        <f t="shared" si="9"/>
        <v>27760</v>
      </c>
    </row>
    <row r="48" spans="1:11" x14ac:dyDescent="0.2">
      <c r="A48" s="125" t="s">
        <v>196</v>
      </c>
      <c r="B48" s="91">
        <v>900</v>
      </c>
      <c r="C48" s="126">
        <v>500</v>
      </c>
      <c r="D48" s="127" t="s">
        <v>221</v>
      </c>
      <c r="E48" s="126">
        <v>100</v>
      </c>
      <c r="F48" s="160">
        <f t="shared" si="7"/>
        <v>5</v>
      </c>
      <c r="G48" s="160">
        <f t="shared" si="8"/>
        <v>34700</v>
      </c>
      <c r="H48" s="130">
        <f t="shared" si="9"/>
        <v>62460</v>
      </c>
    </row>
    <row r="49" spans="1:9" x14ac:dyDescent="0.2">
      <c r="A49" s="47" t="s">
        <v>217</v>
      </c>
      <c r="B49" s="91">
        <v>4000</v>
      </c>
      <c r="C49" s="126">
        <v>500</v>
      </c>
      <c r="D49" s="127" t="s">
        <v>221</v>
      </c>
      <c r="E49" s="126">
        <v>100</v>
      </c>
      <c r="F49" s="160">
        <f t="shared" si="7"/>
        <v>5</v>
      </c>
      <c r="G49" s="160">
        <f t="shared" si="8"/>
        <v>34700</v>
      </c>
      <c r="H49" s="130">
        <f t="shared" si="9"/>
        <v>277600</v>
      </c>
    </row>
    <row r="50" spans="1:9" x14ac:dyDescent="0.2">
      <c r="A50" s="128" t="s">
        <v>205</v>
      </c>
      <c r="B50" s="91">
        <v>3000</v>
      </c>
      <c r="C50" s="126">
        <v>500</v>
      </c>
      <c r="D50" s="127" t="s">
        <v>221</v>
      </c>
      <c r="E50" s="126">
        <v>100</v>
      </c>
      <c r="F50" s="160">
        <f t="shared" si="7"/>
        <v>5</v>
      </c>
      <c r="G50" s="160">
        <f t="shared" si="8"/>
        <v>34700</v>
      </c>
      <c r="H50" s="130">
        <f t="shared" si="9"/>
        <v>208200</v>
      </c>
    </row>
    <row r="51" spans="1:9" x14ac:dyDescent="0.2">
      <c r="A51" s="128" t="s">
        <v>206</v>
      </c>
      <c r="B51" s="91">
        <v>7000</v>
      </c>
      <c r="C51" s="126">
        <v>500</v>
      </c>
      <c r="D51" s="127" t="s">
        <v>221</v>
      </c>
      <c r="E51" s="126">
        <v>100</v>
      </c>
      <c r="F51" s="160">
        <f t="shared" si="7"/>
        <v>5</v>
      </c>
      <c r="G51" s="160">
        <f t="shared" si="8"/>
        <v>34700</v>
      </c>
      <c r="H51" s="130">
        <f t="shared" si="9"/>
        <v>485800</v>
      </c>
    </row>
    <row r="52" spans="1:9" x14ac:dyDescent="0.2">
      <c r="A52" s="47" t="s">
        <v>209</v>
      </c>
      <c r="B52" s="91">
        <v>5000</v>
      </c>
      <c r="C52" s="126">
        <v>500</v>
      </c>
      <c r="D52" s="127" t="s">
        <v>221</v>
      </c>
      <c r="E52" s="126">
        <v>100</v>
      </c>
      <c r="F52" s="160">
        <f t="shared" si="7"/>
        <v>5</v>
      </c>
      <c r="G52" s="160">
        <f t="shared" si="8"/>
        <v>34700</v>
      </c>
      <c r="H52" s="130">
        <f t="shared" si="9"/>
        <v>347000</v>
      </c>
    </row>
    <row r="53" spans="1:9" x14ac:dyDescent="0.2">
      <c r="A53" s="47" t="s">
        <v>211</v>
      </c>
      <c r="B53" s="91">
        <v>300</v>
      </c>
      <c r="C53" s="126">
        <v>1</v>
      </c>
      <c r="D53" s="127" t="s">
        <v>149</v>
      </c>
      <c r="E53" s="126">
        <v>1</v>
      </c>
      <c r="F53" s="160">
        <v>1</v>
      </c>
      <c r="G53" s="160">
        <f t="shared" si="8"/>
        <v>347</v>
      </c>
      <c r="H53" s="130">
        <f t="shared" si="9"/>
        <v>104100</v>
      </c>
      <c r="I53" s="97"/>
    </row>
    <row r="54" spans="1:9" x14ac:dyDescent="0.2">
      <c r="A54" s="125" t="s">
        <v>189</v>
      </c>
      <c r="B54" s="91">
        <v>9000</v>
      </c>
      <c r="C54" s="126">
        <v>500</v>
      </c>
      <c r="D54" s="127" t="s">
        <v>221</v>
      </c>
      <c r="E54" s="126">
        <v>90</v>
      </c>
      <c r="F54" s="160">
        <f t="shared" si="7"/>
        <v>5.5555555555555554</v>
      </c>
      <c r="G54" s="160">
        <f t="shared" si="8"/>
        <v>31230</v>
      </c>
      <c r="H54" s="130">
        <f t="shared" si="9"/>
        <v>562140</v>
      </c>
      <c r="I54" s="152"/>
    </row>
    <row r="55" spans="1:9" x14ac:dyDescent="0.2">
      <c r="A55" s="125" t="s">
        <v>191</v>
      </c>
      <c r="B55" s="91">
        <v>7000</v>
      </c>
      <c r="C55" s="126">
        <v>500</v>
      </c>
      <c r="D55" s="127" t="s">
        <v>221</v>
      </c>
      <c r="E55" s="126">
        <v>200</v>
      </c>
      <c r="F55" s="160">
        <f t="shared" si="7"/>
        <v>2.5</v>
      </c>
      <c r="G55" s="160">
        <f t="shared" si="8"/>
        <v>69400</v>
      </c>
      <c r="H55" s="130">
        <f t="shared" si="9"/>
        <v>971600</v>
      </c>
    </row>
    <row r="56" spans="1:9" x14ac:dyDescent="0.2">
      <c r="A56" s="125" t="s">
        <v>198</v>
      </c>
      <c r="B56" s="91">
        <v>12000</v>
      </c>
      <c r="C56" s="126">
        <v>500</v>
      </c>
      <c r="D56" s="127" t="s">
        <v>221</v>
      </c>
      <c r="E56" s="126">
        <v>100</v>
      </c>
      <c r="F56" s="160">
        <f t="shared" si="7"/>
        <v>5</v>
      </c>
      <c r="G56" s="160">
        <f t="shared" si="8"/>
        <v>34700</v>
      </c>
      <c r="H56" s="130">
        <f t="shared" si="9"/>
        <v>832800</v>
      </c>
    </row>
    <row r="57" spans="1:9" x14ac:dyDescent="0.2">
      <c r="A57" s="125" t="s">
        <v>195</v>
      </c>
      <c r="B57" s="91">
        <v>300</v>
      </c>
      <c r="C57" s="126">
        <v>500</v>
      </c>
      <c r="D57" s="127" t="s">
        <v>221</v>
      </c>
      <c r="E57" s="126">
        <v>200</v>
      </c>
      <c r="F57" s="160">
        <f t="shared" si="7"/>
        <v>2.5</v>
      </c>
      <c r="G57" s="160">
        <f t="shared" si="8"/>
        <v>69400</v>
      </c>
      <c r="H57" s="130">
        <f t="shared" si="9"/>
        <v>41640</v>
      </c>
    </row>
    <row r="58" spans="1:9" x14ac:dyDescent="0.2">
      <c r="A58" s="125" t="s">
        <v>223</v>
      </c>
      <c r="B58" s="91">
        <v>1200</v>
      </c>
      <c r="C58" s="126">
        <v>1</v>
      </c>
      <c r="D58" s="127" t="s">
        <v>149</v>
      </c>
      <c r="E58" s="126">
        <v>1</v>
      </c>
      <c r="F58" s="160">
        <f t="shared" si="7"/>
        <v>1</v>
      </c>
      <c r="G58" s="160">
        <f t="shared" si="8"/>
        <v>347</v>
      </c>
      <c r="H58" s="130">
        <f t="shared" si="9"/>
        <v>416400</v>
      </c>
    </row>
    <row r="59" spans="1:9" x14ac:dyDescent="0.2">
      <c r="A59" s="47" t="s">
        <v>213</v>
      </c>
      <c r="B59" s="91">
        <v>900</v>
      </c>
      <c r="C59" s="126">
        <v>500</v>
      </c>
      <c r="D59" s="127" t="s">
        <v>221</v>
      </c>
      <c r="E59" s="126">
        <v>300</v>
      </c>
      <c r="F59" s="160">
        <f t="shared" si="7"/>
        <v>1.6666666666666667</v>
      </c>
      <c r="G59" s="160">
        <f t="shared" si="8"/>
        <v>104100</v>
      </c>
      <c r="H59" s="130">
        <f t="shared" si="9"/>
        <v>187380</v>
      </c>
    </row>
    <row r="60" spans="1:9" x14ac:dyDescent="0.2">
      <c r="A60" s="125" t="s">
        <v>192</v>
      </c>
      <c r="B60" s="91">
        <v>12000</v>
      </c>
      <c r="C60" s="126">
        <v>500</v>
      </c>
      <c r="D60" s="127" t="s">
        <v>221</v>
      </c>
      <c r="E60" s="126">
        <v>200</v>
      </c>
      <c r="F60" s="160">
        <f t="shared" si="7"/>
        <v>2.5</v>
      </c>
      <c r="G60" s="160">
        <f t="shared" si="8"/>
        <v>69400</v>
      </c>
      <c r="H60" s="130">
        <f t="shared" si="9"/>
        <v>1665600</v>
      </c>
    </row>
    <row r="61" spans="1:9" x14ac:dyDescent="0.2">
      <c r="A61" s="128" t="s">
        <v>201</v>
      </c>
      <c r="B61" s="91">
        <v>12000</v>
      </c>
      <c r="C61" s="126">
        <v>500</v>
      </c>
      <c r="D61" s="127" t="s">
        <v>221</v>
      </c>
      <c r="E61" s="126">
        <v>200</v>
      </c>
      <c r="F61" s="160">
        <f t="shared" si="7"/>
        <v>2.5</v>
      </c>
      <c r="G61" s="160">
        <f t="shared" si="8"/>
        <v>69400</v>
      </c>
      <c r="H61" s="130">
        <f t="shared" si="9"/>
        <v>1665600</v>
      </c>
    </row>
    <row r="62" spans="1:9" x14ac:dyDescent="0.2">
      <c r="A62" s="47" t="s">
        <v>214</v>
      </c>
      <c r="B62" s="91">
        <v>300</v>
      </c>
      <c r="C62" s="126">
        <v>1</v>
      </c>
      <c r="D62" s="127" t="s">
        <v>149</v>
      </c>
      <c r="E62" s="126">
        <v>1</v>
      </c>
      <c r="F62" s="160">
        <v>1</v>
      </c>
      <c r="G62" s="160">
        <f t="shared" si="8"/>
        <v>347</v>
      </c>
      <c r="H62" s="130">
        <f t="shared" si="9"/>
        <v>104100</v>
      </c>
    </row>
    <row r="63" spans="1:9" x14ac:dyDescent="0.2">
      <c r="A63" s="47" t="s">
        <v>212</v>
      </c>
      <c r="B63" s="91">
        <v>600</v>
      </c>
      <c r="C63" s="126">
        <v>500</v>
      </c>
      <c r="D63" s="127" t="s">
        <v>221</v>
      </c>
      <c r="E63" s="126">
        <v>400</v>
      </c>
      <c r="F63" s="160">
        <f t="shared" si="7"/>
        <v>1.25</v>
      </c>
      <c r="G63" s="160">
        <f t="shared" si="8"/>
        <v>138800</v>
      </c>
      <c r="H63" s="130">
        <f t="shared" si="9"/>
        <v>166560</v>
      </c>
    </row>
    <row r="64" spans="1:9" x14ac:dyDescent="0.2">
      <c r="A64" s="128" t="s">
        <v>215</v>
      </c>
      <c r="B64" s="91">
        <v>600</v>
      </c>
      <c r="C64" s="126">
        <v>500</v>
      </c>
      <c r="D64" s="127" t="s">
        <v>221</v>
      </c>
      <c r="E64" s="126">
        <v>20</v>
      </c>
      <c r="F64" s="160">
        <f t="shared" si="7"/>
        <v>25</v>
      </c>
      <c r="G64" s="160">
        <f t="shared" si="8"/>
        <v>6940</v>
      </c>
      <c r="H64" s="130">
        <f t="shared" si="9"/>
        <v>8328</v>
      </c>
    </row>
    <row r="65" spans="1:8" x14ac:dyDescent="0.2">
      <c r="A65" s="47" t="s">
        <v>210</v>
      </c>
      <c r="B65" s="91">
        <v>2000</v>
      </c>
      <c r="C65" s="126">
        <v>500</v>
      </c>
      <c r="D65" s="127" t="s">
        <v>221</v>
      </c>
      <c r="E65" s="126">
        <v>30</v>
      </c>
      <c r="F65" s="160">
        <f t="shared" si="7"/>
        <v>16.666666666666668</v>
      </c>
      <c r="G65" s="160">
        <f t="shared" si="8"/>
        <v>10410</v>
      </c>
      <c r="H65" s="130">
        <f t="shared" si="9"/>
        <v>41640</v>
      </c>
    </row>
    <row r="66" spans="1:8" x14ac:dyDescent="0.2">
      <c r="A66" s="47" t="s">
        <v>219</v>
      </c>
      <c r="B66" s="91">
        <v>10000</v>
      </c>
      <c r="C66" s="126">
        <v>500</v>
      </c>
      <c r="D66" s="127" t="s">
        <v>221</v>
      </c>
      <c r="E66" s="126">
        <v>30</v>
      </c>
      <c r="F66" s="160">
        <f t="shared" si="7"/>
        <v>16.666666666666668</v>
      </c>
      <c r="G66" s="160">
        <f t="shared" si="8"/>
        <v>10410</v>
      </c>
      <c r="H66" s="130">
        <f t="shared" si="9"/>
        <v>208200</v>
      </c>
    </row>
    <row r="67" spans="1:8" x14ac:dyDescent="0.2">
      <c r="A67" s="128" t="s">
        <v>200</v>
      </c>
      <c r="B67" s="91">
        <v>1000</v>
      </c>
      <c r="C67" s="126">
        <v>500</v>
      </c>
      <c r="D67" s="127" t="s">
        <v>221</v>
      </c>
      <c r="E67" s="126">
        <v>200</v>
      </c>
      <c r="F67" s="160">
        <f t="shared" si="7"/>
        <v>2.5</v>
      </c>
      <c r="G67" s="160">
        <f t="shared" si="8"/>
        <v>69400</v>
      </c>
      <c r="H67" s="130">
        <f t="shared" si="9"/>
        <v>138800</v>
      </c>
    </row>
    <row r="68" spans="1:8" x14ac:dyDescent="0.2">
      <c r="A68" s="47" t="s">
        <v>242</v>
      </c>
      <c r="B68" s="91">
        <v>500</v>
      </c>
      <c r="C68" s="126">
        <v>1</v>
      </c>
      <c r="D68" s="127" t="s">
        <v>149</v>
      </c>
      <c r="E68" s="126">
        <v>2</v>
      </c>
      <c r="F68" s="160">
        <f t="shared" si="7"/>
        <v>0.5</v>
      </c>
      <c r="G68" s="160">
        <f t="shared" si="8"/>
        <v>694</v>
      </c>
      <c r="H68" s="130">
        <f t="shared" si="9"/>
        <v>347000</v>
      </c>
    </row>
    <row r="69" spans="1:8" x14ac:dyDescent="0.2">
      <c r="A69" s="128" t="s">
        <v>208</v>
      </c>
      <c r="B69" s="91">
        <v>5000</v>
      </c>
      <c r="C69" s="126">
        <v>500</v>
      </c>
      <c r="D69" s="127" t="s">
        <v>221</v>
      </c>
      <c r="E69" s="126">
        <v>5</v>
      </c>
      <c r="F69" s="160">
        <f t="shared" si="7"/>
        <v>100</v>
      </c>
      <c r="G69" s="160">
        <f t="shared" si="8"/>
        <v>1735</v>
      </c>
      <c r="H69" s="130">
        <f t="shared" si="9"/>
        <v>17350</v>
      </c>
    </row>
    <row r="70" spans="1:8" x14ac:dyDescent="0.2">
      <c r="A70" s="128" t="s">
        <v>204</v>
      </c>
      <c r="B70" s="91">
        <v>5000</v>
      </c>
      <c r="C70" s="126">
        <v>500</v>
      </c>
      <c r="D70" s="127" t="s">
        <v>221</v>
      </c>
      <c r="E70" s="126">
        <v>20</v>
      </c>
      <c r="F70" s="160">
        <f t="shared" si="7"/>
        <v>25</v>
      </c>
      <c r="G70" s="160">
        <f t="shared" si="8"/>
        <v>6940</v>
      </c>
      <c r="H70" s="130">
        <f t="shared" si="9"/>
        <v>69400</v>
      </c>
    </row>
    <row r="71" spans="1:8" x14ac:dyDescent="0.2">
      <c r="A71" s="125" t="s">
        <v>207</v>
      </c>
      <c r="B71" s="91">
        <v>2400</v>
      </c>
      <c r="C71" s="126">
        <v>500</v>
      </c>
      <c r="D71" s="127" t="s">
        <v>221</v>
      </c>
      <c r="E71" s="126">
        <v>100</v>
      </c>
      <c r="F71" s="160">
        <f t="shared" si="7"/>
        <v>5</v>
      </c>
      <c r="G71" s="160">
        <f t="shared" si="8"/>
        <v>34700</v>
      </c>
      <c r="H71" s="130">
        <f t="shared" si="9"/>
        <v>166560</v>
      </c>
    </row>
    <row r="72" spans="1:8" x14ac:dyDescent="0.2">
      <c r="A72" s="125" t="s">
        <v>199</v>
      </c>
      <c r="B72" s="91">
        <v>4000</v>
      </c>
      <c r="C72" s="126">
        <v>500</v>
      </c>
      <c r="D72" s="127" t="s">
        <v>221</v>
      </c>
      <c r="E72" s="126">
        <v>200</v>
      </c>
      <c r="F72" s="160">
        <f t="shared" si="7"/>
        <v>2.5</v>
      </c>
      <c r="G72" s="160">
        <f t="shared" si="8"/>
        <v>69400</v>
      </c>
      <c r="H72" s="130">
        <f t="shared" si="9"/>
        <v>555200</v>
      </c>
    </row>
    <row r="73" spans="1:8" x14ac:dyDescent="0.2">
      <c r="A73" s="125" t="s">
        <v>194</v>
      </c>
      <c r="B73" s="91">
        <v>2000</v>
      </c>
      <c r="C73" s="126">
        <v>500</v>
      </c>
      <c r="D73" s="127" t="s">
        <v>221</v>
      </c>
      <c r="E73" s="126">
        <v>40</v>
      </c>
      <c r="F73" s="160">
        <f t="shared" si="7"/>
        <v>12.5</v>
      </c>
      <c r="G73" s="160">
        <f t="shared" si="8"/>
        <v>13880</v>
      </c>
      <c r="H73" s="130">
        <f t="shared" si="9"/>
        <v>55520</v>
      </c>
    </row>
    <row r="74" spans="1:8" x14ac:dyDescent="0.2">
      <c r="A74" s="125" t="s">
        <v>190</v>
      </c>
      <c r="B74" s="91">
        <v>2000</v>
      </c>
      <c r="C74" s="126">
        <v>500</v>
      </c>
      <c r="D74" s="127" t="s">
        <v>221</v>
      </c>
      <c r="E74" s="126">
        <v>100</v>
      </c>
      <c r="F74" s="160">
        <f t="shared" si="7"/>
        <v>5</v>
      </c>
      <c r="G74" s="160">
        <f t="shared" si="8"/>
        <v>34700</v>
      </c>
      <c r="H74" s="130">
        <f t="shared" si="9"/>
        <v>138800</v>
      </c>
    </row>
    <row r="75" spans="1:8" x14ac:dyDescent="0.2">
      <c r="A75" s="125" t="s">
        <v>197</v>
      </c>
      <c r="B75" s="91">
        <v>1500</v>
      </c>
      <c r="C75" s="126">
        <v>1</v>
      </c>
      <c r="D75" s="127" t="s">
        <v>149</v>
      </c>
      <c r="E75" s="126">
        <v>2</v>
      </c>
      <c r="F75" s="160">
        <f t="shared" si="7"/>
        <v>0.5</v>
      </c>
      <c r="G75" s="160">
        <f t="shared" si="8"/>
        <v>694</v>
      </c>
      <c r="H75" s="130">
        <f>(B75*G75)*2</f>
        <v>2082000</v>
      </c>
    </row>
    <row r="76" spans="1:8" x14ac:dyDescent="0.2">
      <c r="A76" s="290" t="s">
        <v>244</v>
      </c>
      <c r="B76" s="290"/>
      <c r="C76" s="290"/>
      <c r="D76" s="290"/>
      <c r="E76" s="290"/>
      <c r="F76" s="290"/>
      <c r="G76" s="290"/>
      <c r="H76" s="159">
        <f>SUM(H42:H75)</f>
        <v>12703323</v>
      </c>
    </row>
    <row r="77" spans="1:8" x14ac:dyDescent="0.2">
      <c r="A77" s="291" t="s">
        <v>245</v>
      </c>
      <c r="B77" s="292"/>
      <c r="C77" s="292"/>
      <c r="D77" s="292"/>
      <c r="E77" s="292"/>
      <c r="F77" s="292"/>
      <c r="G77" s="293"/>
      <c r="H77" s="159">
        <f>H76/12</f>
        <v>1058610.25</v>
      </c>
    </row>
    <row r="79" spans="1:8" x14ac:dyDescent="0.2">
      <c r="H79" s="124"/>
    </row>
  </sheetData>
  <sortState ref="A4:A38">
    <sortCondition ref="A38"/>
  </sortState>
  <mergeCells count="18">
    <mergeCell ref="D40:D41"/>
    <mergeCell ref="E40:E41"/>
    <mergeCell ref="A76:G76"/>
    <mergeCell ref="A77:G77"/>
    <mergeCell ref="A1:F1"/>
    <mergeCell ref="G1:J1"/>
    <mergeCell ref="A2:A3"/>
    <mergeCell ref="B2:B3"/>
    <mergeCell ref="D2:D3"/>
    <mergeCell ref="E2:E3"/>
    <mergeCell ref="F2:F3"/>
    <mergeCell ref="C2:C3"/>
    <mergeCell ref="H40:H41"/>
    <mergeCell ref="F40:F41"/>
    <mergeCell ref="G40:G41"/>
    <mergeCell ref="A40:A41"/>
    <mergeCell ref="B40:B41"/>
    <mergeCell ref="C40:C41"/>
  </mergeCells>
  <pageMargins left="0.7" right="0.7" top="0.75" bottom="0.75" header="0.3" footer="0.3"/>
  <pageSetup orientation="portrait" r:id="rId1"/>
  <ignoredErrors>
    <ignoredError sqref="F24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7"/>
  <sheetViews>
    <sheetView workbookViewId="0">
      <selection activeCell="I17" sqref="I17"/>
    </sheetView>
  </sheetViews>
  <sheetFormatPr baseColWidth="10" defaultRowHeight="15" x14ac:dyDescent="0.25"/>
  <cols>
    <col min="1" max="1" width="16.42578125" customWidth="1"/>
    <col min="2" max="2" width="14.7109375" customWidth="1"/>
    <col min="3" max="3" width="17.28515625" customWidth="1"/>
    <col min="4" max="4" width="13.140625" bestFit="1" customWidth="1"/>
    <col min="5" max="5" width="18.7109375" customWidth="1"/>
    <col min="6" max="8" width="10.5703125" customWidth="1"/>
    <col min="9" max="9" width="14.42578125" bestFit="1" customWidth="1"/>
    <col min="10" max="10" width="13.42578125" bestFit="1" customWidth="1"/>
  </cols>
  <sheetData>
    <row r="1" spans="1:10" ht="39" thickBot="1" x14ac:dyDescent="0.3">
      <c r="A1" s="178" t="s">
        <v>247</v>
      </c>
      <c r="B1" s="179" t="s">
        <v>248</v>
      </c>
      <c r="C1" s="179" t="s">
        <v>249</v>
      </c>
      <c r="D1" s="179" t="s">
        <v>250</v>
      </c>
      <c r="E1" s="179" t="s">
        <v>251</v>
      </c>
      <c r="F1" s="179" t="s">
        <v>252</v>
      </c>
      <c r="G1" s="179" t="s">
        <v>253</v>
      </c>
      <c r="H1" s="179" t="s">
        <v>254</v>
      </c>
      <c r="I1" s="179" t="s">
        <v>255</v>
      </c>
      <c r="J1" s="180" t="s">
        <v>256</v>
      </c>
    </row>
    <row r="2" spans="1:10" ht="15.75" thickBot="1" x14ac:dyDescent="0.3">
      <c r="A2" s="190" t="s">
        <v>91</v>
      </c>
      <c r="B2" s="191"/>
      <c r="C2" s="173"/>
      <c r="D2" s="191"/>
      <c r="E2" s="191"/>
      <c r="F2" s="186">
        <f>+B2-E2</f>
        <v>0</v>
      </c>
      <c r="G2" s="186" t="e">
        <f>D2/F2</f>
        <v>#DIV/0!</v>
      </c>
      <c r="H2" s="186" t="e">
        <f>G2/12</f>
        <v>#DIV/0!</v>
      </c>
      <c r="I2" s="186" t="e">
        <f>+B2*G2</f>
        <v>#DIV/0!</v>
      </c>
      <c r="J2" s="187" t="e">
        <f>+B2*H2</f>
        <v>#DIV/0!</v>
      </c>
    </row>
    <row r="3" spans="1:10" ht="15.75" thickBot="1" x14ac:dyDescent="0.3">
      <c r="A3" s="192" t="s">
        <v>93</v>
      </c>
      <c r="B3" s="193"/>
      <c r="C3" s="173"/>
      <c r="D3" s="191"/>
      <c r="E3" s="193"/>
      <c r="F3" s="188">
        <f t="shared" ref="F3:F5" si="0">+B3-E3</f>
        <v>0</v>
      </c>
      <c r="G3" s="188" t="e">
        <f t="shared" ref="G3:G5" si="1">D3/F3</f>
        <v>#DIV/0!</v>
      </c>
      <c r="H3" s="188" t="e">
        <f t="shared" ref="H3:H5" si="2">G3/12</f>
        <v>#DIV/0!</v>
      </c>
      <c r="I3" s="188" t="e">
        <f t="shared" ref="I3:I5" si="3">+B3*G3</f>
        <v>#DIV/0!</v>
      </c>
      <c r="J3" s="189" t="e">
        <f t="shared" ref="J3:J5" si="4">+B3*H3</f>
        <v>#DIV/0!</v>
      </c>
    </row>
    <row r="4" spans="1:10" ht="15.75" thickBot="1" x14ac:dyDescent="0.3">
      <c r="A4" s="192" t="s">
        <v>95</v>
      </c>
      <c r="B4" s="193"/>
      <c r="C4" s="173"/>
      <c r="D4" s="191"/>
      <c r="E4" s="193"/>
      <c r="F4" s="188">
        <f t="shared" si="0"/>
        <v>0</v>
      </c>
      <c r="G4" s="188" t="e">
        <f t="shared" si="1"/>
        <v>#DIV/0!</v>
      </c>
      <c r="H4" s="188" t="e">
        <f t="shared" si="2"/>
        <v>#DIV/0!</v>
      </c>
      <c r="I4" s="188" t="e">
        <f t="shared" si="3"/>
        <v>#DIV/0!</v>
      </c>
      <c r="J4" s="189" t="e">
        <f t="shared" si="4"/>
        <v>#DIV/0!</v>
      </c>
    </row>
    <row r="5" spans="1:10" ht="15.75" thickBot="1" x14ac:dyDescent="0.3">
      <c r="A5" s="192" t="s">
        <v>257</v>
      </c>
      <c r="B5" s="193"/>
      <c r="C5" s="173"/>
      <c r="D5" s="191"/>
      <c r="E5" s="193"/>
      <c r="F5" s="188">
        <f t="shared" si="0"/>
        <v>0</v>
      </c>
      <c r="G5" s="188" t="e">
        <f t="shared" si="1"/>
        <v>#DIV/0!</v>
      </c>
      <c r="H5" s="188" t="e">
        <f t="shared" si="2"/>
        <v>#DIV/0!</v>
      </c>
      <c r="I5" s="188" t="e">
        <f t="shared" si="3"/>
        <v>#DIV/0!</v>
      </c>
      <c r="J5" s="189" t="e">
        <f t="shared" si="4"/>
        <v>#DIV/0!</v>
      </c>
    </row>
    <row r="6" spans="1:10" ht="15.75" thickBot="1" x14ac:dyDescent="0.3">
      <c r="A6" s="181" t="s">
        <v>27</v>
      </c>
      <c r="B6" s="182">
        <f t="shared" ref="B6:J6" si="5">SUM(B2:B5)</f>
        <v>0</v>
      </c>
      <c r="C6" s="183">
        <f t="shared" si="5"/>
        <v>0</v>
      </c>
      <c r="D6" s="184">
        <f t="shared" si="5"/>
        <v>0</v>
      </c>
      <c r="E6" s="184">
        <f t="shared" si="5"/>
        <v>0</v>
      </c>
      <c r="F6" s="184">
        <f t="shared" si="5"/>
        <v>0</v>
      </c>
      <c r="G6" s="184" t="e">
        <f t="shared" si="5"/>
        <v>#DIV/0!</v>
      </c>
      <c r="H6" s="184" t="e">
        <f t="shared" si="5"/>
        <v>#DIV/0!</v>
      </c>
      <c r="I6" s="184" t="e">
        <f t="shared" si="5"/>
        <v>#DIV/0!</v>
      </c>
      <c r="J6" s="185" t="e">
        <f t="shared" si="5"/>
        <v>#DIV/0!</v>
      </c>
    </row>
    <row r="7" spans="1:10" x14ac:dyDescent="0.25">
      <c r="C7" s="177" t="s">
        <v>258</v>
      </c>
    </row>
    <row r="8" spans="1:10" ht="8.25" customHeight="1" x14ac:dyDescent="0.25"/>
    <row r="9" spans="1:10" x14ac:dyDescent="0.25">
      <c r="A9" s="303" t="s">
        <v>281</v>
      </c>
      <c r="B9" s="303"/>
      <c r="C9" s="303"/>
      <c r="D9" s="303"/>
      <c r="E9" s="303"/>
      <c r="F9" s="303"/>
      <c r="G9" s="303"/>
    </row>
    <row r="10" spans="1:10" ht="54" customHeight="1" x14ac:dyDescent="0.25">
      <c r="A10" s="57" t="s">
        <v>247</v>
      </c>
      <c r="B10" s="57" t="s">
        <v>282</v>
      </c>
      <c r="C10" s="57" t="s">
        <v>283</v>
      </c>
      <c r="D10" s="57" t="s">
        <v>284</v>
      </c>
      <c r="E10" s="57" t="s">
        <v>285</v>
      </c>
      <c r="F10" s="57" t="s">
        <v>252</v>
      </c>
      <c r="G10" s="57" t="s">
        <v>287</v>
      </c>
    </row>
    <row r="11" spans="1:10" x14ac:dyDescent="0.25">
      <c r="A11" s="209" t="s">
        <v>91</v>
      </c>
      <c r="B11" s="208"/>
      <c r="C11" s="210"/>
      <c r="D11" s="208"/>
      <c r="E11" s="208"/>
      <c r="F11" s="211"/>
      <c r="G11" s="212">
        <f>(D11*15/100)+D11</f>
        <v>0</v>
      </c>
    </row>
    <row r="12" spans="1:10" x14ac:dyDescent="0.25">
      <c r="A12" s="209" t="s">
        <v>93</v>
      </c>
      <c r="B12" s="208"/>
      <c r="C12" s="210"/>
      <c r="D12" s="208"/>
      <c r="E12" s="208"/>
      <c r="F12" s="211"/>
      <c r="G12" s="212">
        <f t="shared" ref="G12:G14" si="6">(D12*15/100)+D12</f>
        <v>0</v>
      </c>
    </row>
    <row r="13" spans="1:10" x14ac:dyDescent="0.25">
      <c r="A13" s="209" t="s">
        <v>95</v>
      </c>
      <c r="B13" s="208"/>
      <c r="C13" s="210"/>
      <c r="D13" s="208"/>
      <c r="E13" s="208"/>
      <c r="F13" s="211"/>
      <c r="G13" s="212">
        <f t="shared" si="6"/>
        <v>0</v>
      </c>
    </row>
    <row r="14" spans="1:10" x14ac:dyDescent="0.25">
      <c r="A14" s="209" t="s">
        <v>257</v>
      </c>
      <c r="B14" s="208"/>
      <c r="C14" s="210"/>
      <c r="D14" s="208"/>
      <c r="E14" s="208"/>
      <c r="F14" s="211"/>
      <c r="G14" s="212">
        <f t="shared" si="6"/>
        <v>0</v>
      </c>
    </row>
    <row r="15" spans="1:10" x14ac:dyDescent="0.25">
      <c r="A15" s="213" t="s">
        <v>27</v>
      </c>
      <c r="B15" s="214">
        <f t="shared" ref="B15:G15" si="7">SUM(B11:B14)</f>
        <v>0</v>
      </c>
      <c r="C15" s="214">
        <f t="shared" si="7"/>
        <v>0</v>
      </c>
      <c r="D15" s="214">
        <f t="shared" si="7"/>
        <v>0</v>
      </c>
      <c r="E15" s="214">
        <f t="shared" si="7"/>
        <v>0</v>
      </c>
      <c r="F15" s="215">
        <f t="shared" si="7"/>
        <v>0</v>
      </c>
      <c r="G15" s="215">
        <f t="shared" si="7"/>
        <v>0</v>
      </c>
    </row>
    <row r="17" spans="7:7" x14ac:dyDescent="0.25">
      <c r="G17" s="10"/>
    </row>
  </sheetData>
  <mergeCells count="1">
    <mergeCell ref="A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INICIO </vt:lpstr>
      <vt:lpstr>PLAN DE INVERSION</vt:lpstr>
      <vt:lpstr>GASTOS PREVIOS A LA PRODUCCION</vt:lpstr>
      <vt:lpstr>GASTOS DE PERSONAL</vt:lpstr>
      <vt:lpstr>DEPRECIACION</vt:lpstr>
      <vt:lpstr>COS PRODU Y GASTOS ADMON</vt:lpstr>
      <vt:lpstr>CAPITAL DE TRABAJO </vt:lpstr>
      <vt:lpstr>COSTO POR UNIDAD DE VENTA </vt:lpstr>
      <vt:lpstr>PTO EQU PREC VTA</vt:lpstr>
      <vt:lpstr>PROYECCION</vt:lpstr>
      <vt:lpstr>ESTADO DE RESULTADOS</vt:lpstr>
      <vt:lpstr>BALANCE GENRAL</vt:lpstr>
      <vt:lpstr>TABLA1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Javier Leonardo Carranza Martinez</cp:lastModifiedBy>
  <dcterms:created xsi:type="dcterms:W3CDTF">2013-09-26T11:52:32Z</dcterms:created>
  <dcterms:modified xsi:type="dcterms:W3CDTF">2013-11-11T16:20:58Z</dcterms:modified>
</cp:coreProperties>
</file>